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875" windowHeight="7725"/>
  </bookViews>
  <sheets>
    <sheet name="Historical Financials in THB"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Print_Area" localSheetId="0">'Historical Financials in THB'!$A$1:$AG$79</definedName>
  </definedNames>
  <calcPr calcId="145621"/>
</workbook>
</file>

<file path=xl/calcChain.xml><?xml version="1.0" encoding="utf-8"?>
<calcChain xmlns="http://schemas.openxmlformats.org/spreadsheetml/2006/main">
  <c r="AF69" i="1" l="1"/>
  <c r="L69" i="1" s="1"/>
  <c r="AB69" i="1"/>
  <c r="T69" i="1"/>
  <c r="AG68" i="1"/>
  <c r="AF68" i="1"/>
  <c r="AE68" i="1"/>
  <c r="AD68" i="1"/>
  <c r="AC68" i="1"/>
  <c r="AA68" i="1"/>
  <c r="Z68" i="1"/>
  <c r="Y68" i="1"/>
  <c r="X68" i="1"/>
  <c r="W68" i="1"/>
  <c r="V68" i="1"/>
  <c r="U68" i="1"/>
  <c r="L68" i="1"/>
  <c r="K68" i="1"/>
  <c r="J68" i="1"/>
  <c r="I68" i="1"/>
  <c r="AB68" i="1" s="1"/>
  <c r="H68" i="1"/>
  <c r="G68" i="1"/>
  <c r="F68" i="1"/>
  <c r="E68" i="1"/>
  <c r="AG67" i="1"/>
  <c r="AE67" i="1"/>
  <c r="AD67" i="1"/>
  <c r="AC67" i="1"/>
  <c r="AA67" i="1"/>
  <c r="Z67" i="1"/>
  <c r="Y67" i="1"/>
  <c r="X67" i="1"/>
  <c r="W67" i="1"/>
  <c r="U67" i="1"/>
  <c r="V67" i="1" s="1"/>
  <c r="Q67" i="1"/>
  <c r="R67" i="1" s="1"/>
  <c r="T67" i="1" s="1"/>
  <c r="P67" i="1"/>
  <c r="L67" i="1"/>
  <c r="K67" i="1"/>
  <c r="J67" i="1"/>
  <c r="AF67" i="1" s="1"/>
  <c r="I67" i="1"/>
  <c r="AB67" i="1" s="1"/>
  <c r="H67" i="1"/>
  <c r="C67" i="1"/>
  <c r="AG66" i="1"/>
  <c r="AE66" i="1"/>
  <c r="AD66" i="1"/>
  <c r="AC66" i="1"/>
  <c r="AA66" i="1"/>
  <c r="Z66" i="1"/>
  <c r="Y66" i="1"/>
  <c r="X66" i="1"/>
  <c r="W66" i="1"/>
  <c r="V66" i="1"/>
  <c r="U66" i="1"/>
  <c r="Q66" i="1"/>
  <c r="R66" i="1" s="1"/>
  <c r="T66" i="1" s="1"/>
  <c r="P66" i="1"/>
  <c r="L66" i="1"/>
  <c r="K66" i="1"/>
  <c r="J66" i="1"/>
  <c r="AF66" i="1" s="1"/>
  <c r="I66" i="1"/>
  <c r="AB66" i="1" s="1"/>
  <c r="H66" i="1"/>
  <c r="C66" i="1"/>
  <c r="AG65" i="1"/>
  <c r="AE65" i="1"/>
  <c r="AD65" i="1"/>
  <c r="AC65" i="1"/>
  <c r="AA65" i="1"/>
  <c r="Z65" i="1"/>
  <c r="Y65" i="1"/>
  <c r="X65" i="1"/>
  <c r="W65" i="1"/>
  <c r="U65" i="1"/>
  <c r="V65" i="1" s="1"/>
  <c r="R65" i="1"/>
  <c r="T65" i="1" s="1"/>
  <c r="Q65" i="1"/>
  <c r="P65" i="1"/>
  <c r="L65" i="1"/>
  <c r="K65" i="1"/>
  <c r="J65" i="1"/>
  <c r="AF65" i="1" s="1"/>
  <c r="I65" i="1"/>
  <c r="AB65" i="1" s="1"/>
  <c r="H65" i="1"/>
  <c r="C65" i="1"/>
  <c r="AG63" i="1"/>
  <c r="AE63" i="1"/>
  <c r="AD63" i="1"/>
  <c r="AC63" i="1"/>
  <c r="AB63" i="1"/>
  <c r="AA63" i="1"/>
  <c r="Z63" i="1"/>
  <c r="Y63" i="1"/>
  <c r="X63" i="1"/>
  <c r="W63" i="1"/>
  <c r="U63" i="1"/>
  <c r="R63" i="1"/>
  <c r="Q63" i="1"/>
  <c r="N63" i="1"/>
  <c r="L63" i="1"/>
  <c r="K63" i="1"/>
  <c r="J63" i="1"/>
  <c r="I63" i="1"/>
  <c r="H63" i="1"/>
  <c r="D63" i="1"/>
  <c r="C63" i="1"/>
  <c r="AG62" i="1"/>
  <c r="AE62" i="1"/>
  <c r="AD62" i="1"/>
  <c r="AC62" i="1"/>
  <c r="AB62" i="1"/>
  <c r="AA62" i="1"/>
  <c r="Z62" i="1"/>
  <c r="Y62" i="1"/>
  <c r="X62" i="1"/>
  <c r="W62" i="1"/>
  <c r="V62" i="1"/>
  <c r="U62" i="1"/>
  <c r="T62" i="1"/>
  <c r="S62" i="1"/>
  <c r="R62" i="1"/>
  <c r="Q62" i="1"/>
  <c r="P62" i="1"/>
  <c r="O62" i="1"/>
  <c r="N62" i="1"/>
  <c r="M62" i="1"/>
  <c r="M64" i="1" s="1"/>
  <c r="M70" i="1" s="1"/>
  <c r="L62" i="1"/>
  <c r="K62" i="1"/>
  <c r="J62" i="1"/>
  <c r="AF62" i="1" s="1"/>
  <c r="I62" i="1"/>
  <c r="H62" i="1"/>
  <c r="G62" i="1"/>
  <c r="G64" i="1" s="1"/>
  <c r="G70" i="1" s="1"/>
  <c r="F62" i="1"/>
  <c r="F64" i="1" s="1"/>
  <c r="F70" i="1" s="1"/>
  <c r="E62" i="1"/>
  <c r="E64" i="1" s="1"/>
  <c r="E70" i="1" s="1"/>
  <c r="D62" i="1"/>
  <c r="C62" i="1"/>
  <c r="AG61" i="1"/>
  <c r="AE61" i="1"/>
  <c r="AD61" i="1"/>
  <c r="AC61" i="1"/>
  <c r="AB61" i="1"/>
  <c r="AA61" i="1"/>
  <c r="Z61" i="1"/>
  <c r="Y61" i="1"/>
  <c r="X61" i="1"/>
  <c r="W61" i="1"/>
  <c r="V61" i="1"/>
  <c r="U61" i="1"/>
  <c r="R61" i="1"/>
  <c r="S61" i="1" s="1"/>
  <c r="Q61" i="1"/>
  <c r="N61" i="1"/>
  <c r="O61" i="1" s="1"/>
  <c r="L61" i="1"/>
  <c r="K61" i="1"/>
  <c r="J61" i="1"/>
  <c r="AF61" i="1" s="1"/>
  <c r="I61" i="1"/>
  <c r="H61" i="1"/>
  <c r="D61" i="1"/>
  <c r="D64" i="1" s="1"/>
  <c r="D70" i="1" s="1"/>
  <c r="C61" i="1"/>
  <c r="AG60" i="1"/>
  <c r="AG64" i="1" s="1"/>
  <c r="AG70" i="1" s="1"/>
  <c r="AE60" i="1"/>
  <c r="AE64" i="1" s="1"/>
  <c r="AE70" i="1" s="1"/>
  <c r="AD60" i="1"/>
  <c r="AD64" i="1" s="1"/>
  <c r="AD70" i="1" s="1"/>
  <c r="AC60" i="1"/>
  <c r="AC64" i="1" s="1"/>
  <c r="AC70" i="1" s="1"/>
  <c r="AA60" i="1"/>
  <c r="AA64" i="1" s="1"/>
  <c r="AA70" i="1" s="1"/>
  <c r="Z60" i="1"/>
  <c r="Z64" i="1" s="1"/>
  <c r="Z70" i="1" s="1"/>
  <c r="Y60" i="1"/>
  <c r="Y64" i="1" s="1"/>
  <c r="Y70" i="1" s="1"/>
  <c r="W60" i="1"/>
  <c r="W64" i="1" s="1"/>
  <c r="W70" i="1" s="1"/>
  <c r="V60" i="1"/>
  <c r="U60" i="1"/>
  <c r="U64" i="1" s="1"/>
  <c r="U70" i="1" s="1"/>
  <c r="Q60" i="1"/>
  <c r="R60" i="1" s="1"/>
  <c r="P60" i="1"/>
  <c r="L60" i="1"/>
  <c r="L64" i="1" s="1"/>
  <c r="L70" i="1" s="1"/>
  <c r="K60" i="1"/>
  <c r="J60" i="1"/>
  <c r="I60" i="1"/>
  <c r="H60" i="1"/>
  <c r="H64" i="1" s="1"/>
  <c r="H70" i="1" s="1"/>
  <c r="C60" i="1"/>
  <c r="AG52" i="1"/>
  <c r="AF52" i="1"/>
  <c r="AE52" i="1"/>
  <c r="AD52" i="1"/>
  <c r="AC52" i="1"/>
  <c r="AB52" i="1"/>
  <c r="AA52" i="1"/>
  <c r="Z52" i="1"/>
  <c r="Y52" i="1"/>
  <c r="X52" i="1"/>
  <c r="X50" i="1" s="1"/>
  <c r="W52" i="1"/>
  <c r="V52" i="1"/>
  <c r="U52" i="1"/>
  <c r="T52" i="1"/>
  <c r="S52" i="1"/>
  <c r="R52" i="1"/>
  <c r="Q52" i="1"/>
  <c r="P52" i="1"/>
  <c r="P50" i="1" s="1"/>
  <c r="O52" i="1"/>
  <c r="N52" i="1"/>
  <c r="M52" i="1"/>
  <c r="L52" i="1"/>
  <c r="L50" i="1" s="1"/>
  <c r="K52" i="1"/>
  <c r="J52" i="1"/>
  <c r="I52" i="1"/>
  <c r="H52" i="1"/>
  <c r="H50" i="1" s="1"/>
  <c r="G52" i="1"/>
  <c r="F52" i="1"/>
  <c r="E52" i="1"/>
  <c r="D52" i="1"/>
  <c r="C52" i="1"/>
  <c r="AG51" i="1"/>
  <c r="AE51" i="1"/>
  <c r="AD51" i="1"/>
  <c r="AC51" i="1"/>
  <c r="AA51" i="1"/>
  <c r="Z51" i="1"/>
  <c r="Y51" i="1"/>
  <c r="X51" i="1"/>
  <c r="W51" i="1"/>
  <c r="V51" i="1"/>
  <c r="U51" i="1"/>
  <c r="S51" i="1"/>
  <c r="R51" i="1"/>
  <c r="Q51" i="1"/>
  <c r="P51" i="1"/>
  <c r="O51" i="1"/>
  <c r="N51" i="1"/>
  <c r="M51" i="1"/>
  <c r="L51" i="1"/>
  <c r="K51" i="1"/>
  <c r="J51" i="1"/>
  <c r="AF51" i="1" s="1"/>
  <c r="I51" i="1"/>
  <c r="AB51" i="1" s="1"/>
  <c r="H51" i="1"/>
  <c r="G51" i="1"/>
  <c r="T51" i="1" s="1"/>
  <c r="F51" i="1"/>
  <c r="E51" i="1"/>
  <c r="D51" i="1"/>
  <c r="C51" i="1"/>
  <c r="AD50" i="1"/>
  <c r="Z50" i="1"/>
  <c r="V50" i="1"/>
  <c r="R50" i="1"/>
  <c r="N50" i="1"/>
  <c r="J50" i="1"/>
  <c r="F50" i="1"/>
  <c r="AG49" i="1"/>
  <c r="AE49" i="1"/>
  <c r="AE50" i="1" s="1"/>
  <c r="AD49" i="1"/>
  <c r="AC49" i="1"/>
  <c r="AA49" i="1"/>
  <c r="Z49" i="1"/>
  <c r="Y49" i="1"/>
  <c r="X49" i="1"/>
  <c r="W49" i="1"/>
  <c r="V49" i="1"/>
  <c r="U49" i="1"/>
  <c r="S49" i="1"/>
  <c r="S50" i="1" s="1"/>
  <c r="R49" i="1"/>
  <c r="Q49" i="1"/>
  <c r="P49" i="1"/>
  <c r="O49" i="1"/>
  <c r="O50" i="1" s="1"/>
  <c r="N49" i="1"/>
  <c r="M49" i="1"/>
  <c r="L49" i="1"/>
  <c r="K49" i="1"/>
  <c r="K50" i="1" s="1"/>
  <c r="J49" i="1"/>
  <c r="I49" i="1"/>
  <c r="H49" i="1"/>
  <c r="G49" i="1"/>
  <c r="G50" i="1" s="1"/>
  <c r="F49" i="1"/>
  <c r="E49" i="1"/>
  <c r="D49" i="1"/>
  <c r="C49" i="1"/>
  <c r="C50" i="1" s="1"/>
  <c r="T48" i="1"/>
  <c r="AG47" i="1"/>
  <c r="AE47" i="1"/>
  <c r="AD47" i="1"/>
  <c r="AC47" i="1"/>
  <c r="AA47" i="1"/>
  <c r="Z47" i="1"/>
  <c r="Y47" i="1"/>
  <c r="X47" i="1"/>
  <c r="W47" i="1"/>
  <c r="V47" i="1"/>
  <c r="U47" i="1"/>
  <c r="T47" i="1"/>
  <c r="S47" i="1"/>
  <c r="R47" i="1"/>
  <c r="Q47" i="1"/>
  <c r="P47" i="1"/>
  <c r="O47" i="1"/>
  <c r="N47" i="1"/>
  <c r="M47" i="1"/>
  <c r="L47" i="1"/>
  <c r="K47" i="1"/>
  <c r="J47" i="1"/>
  <c r="AF47" i="1" s="1"/>
  <c r="I47" i="1"/>
  <c r="AB47" i="1" s="1"/>
  <c r="H47" i="1"/>
  <c r="G47" i="1"/>
  <c r="F47" i="1"/>
  <c r="E47" i="1"/>
  <c r="D47" i="1"/>
  <c r="C47" i="1"/>
  <c r="AD46" i="1"/>
  <c r="Z46" i="1"/>
  <c r="V46" i="1"/>
  <c r="R46" i="1"/>
  <c r="N46" i="1"/>
  <c r="J46" i="1"/>
  <c r="F46" i="1"/>
  <c r="AG45" i="1"/>
  <c r="AE45" i="1"/>
  <c r="AD45" i="1"/>
  <c r="AC45" i="1"/>
  <c r="AA45" i="1"/>
  <c r="Z45" i="1"/>
  <c r="Y45" i="1"/>
  <c r="X45" i="1"/>
  <c r="W45" i="1"/>
  <c r="V45" i="1"/>
  <c r="U45" i="1"/>
  <c r="T45" i="1"/>
  <c r="S45" i="1"/>
  <c r="R45" i="1"/>
  <c r="Q45" i="1"/>
  <c r="P45" i="1"/>
  <c r="O45" i="1"/>
  <c r="N45" i="1"/>
  <c r="M45" i="1"/>
  <c r="L45" i="1"/>
  <c r="K45" i="1"/>
  <c r="J45" i="1"/>
  <c r="AF45" i="1" s="1"/>
  <c r="I45" i="1"/>
  <c r="AB45" i="1" s="1"/>
  <c r="H45" i="1"/>
  <c r="G45" i="1"/>
  <c r="F45" i="1"/>
  <c r="E45" i="1"/>
  <c r="D45" i="1"/>
  <c r="C45" i="1"/>
  <c r="AG44" i="1"/>
  <c r="AG46" i="1" s="1"/>
  <c r="AF44" i="1"/>
  <c r="AF46" i="1" s="1"/>
  <c r="AE44" i="1"/>
  <c r="AE46" i="1" s="1"/>
  <c r="AD44" i="1"/>
  <c r="AC44" i="1"/>
  <c r="AB44" i="1"/>
  <c r="AB46" i="1" s="1"/>
  <c r="AA44" i="1"/>
  <c r="AA46" i="1" s="1"/>
  <c r="Z44" i="1"/>
  <c r="Y44" i="1"/>
  <c r="Y46" i="1" s="1"/>
  <c r="X44" i="1"/>
  <c r="X46" i="1" s="1"/>
  <c r="W44" i="1"/>
  <c r="W46" i="1" s="1"/>
  <c r="V44" i="1"/>
  <c r="U44" i="1"/>
  <c r="U46" i="1" s="1"/>
  <c r="T44" i="1"/>
  <c r="T46" i="1" s="1"/>
  <c r="S44" i="1"/>
  <c r="S46" i="1" s="1"/>
  <c r="R44" i="1"/>
  <c r="Q44" i="1"/>
  <c r="Q46" i="1" s="1"/>
  <c r="P44" i="1"/>
  <c r="P46" i="1" s="1"/>
  <c r="O44" i="1"/>
  <c r="O46" i="1" s="1"/>
  <c r="N44" i="1"/>
  <c r="M44" i="1"/>
  <c r="M46" i="1" s="1"/>
  <c r="L44" i="1"/>
  <c r="L46" i="1" s="1"/>
  <c r="K44" i="1"/>
  <c r="K46" i="1" s="1"/>
  <c r="J44" i="1"/>
  <c r="I44" i="1"/>
  <c r="H44" i="1"/>
  <c r="H46" i="1" s="1"/>
  <c r="G44" i="1"/>
  <c r="G46" i="1" s="1"/>
  <c r="F44" i="1"/>
  <c r="E44" i="1"/>
  <c r="D44" i="1"/>
  <c r="D46" i="1" s="1"/>
  <c r="D48" i="1" s="1"/>
  <c r="D53" i="1" s="1"/>
  <c r="C44" i="1"/>
  <c r="C46" i="1" s="1"/>
  <c r="D40" i="1"/>
  <c r="C40" i="1"/>
  <c r="AG39" i="1"/>
  <c r="AF39" i="1"/>
  <c r="AE39" i="1"/>
  <c r="AD39" i="1"/>
  <c r="AC39" i="1"/>
  <c r="AB39" i="1"/>
  <c r="AA39" i="1"/>
  <c r="Z39" i="1"/>
  <c r="Y39" i="1"/>
  <c r="X39" i="1"/>
  <c r="W39" i="1"/>
  <c r="V39" i="1"/>
  <c r="U39" i="1"/>
  <c r="T39" i="1"/>
  <c r="S39" i="1"/>
  <c r="R39" i="1"/>
  <c r="Q39" i="1"/>
  <c r="P39" i="1"/>
  <c r="O39" i="1"/>
  <c r="N39" i="1"/>
  <c r="M39" i="1"/>
  <c r="L39" i="1"/>
  <c r="J39" i="1"/>
  <c r="I39" i="1"/>
  <c r="H39" i="1"/>
  <c r="G39" i="1"/>
  <c r="F39" i="1"/>
  <c r="E39" i="1"/>
  <c r="D39" i="1"/>
  <c r="AG38" i="1"/>
  <c r="AE38" i="1"/>
  <c r="AD38" i="1"/>
  <c r="AC38" i="1"/>
  <c r="AA38" i="1"/>
  <c r="Z38" i="1"/>
  <c r="Y38" i="1"/>
  <c r="W38" i="1"/>
  <c r="V38" i="1"/>
  <c r="U38" i="1"/>
  <c r="T38" i="1"/>
  <c r="S38" i="1"/>
  <c r="R38" i="1"/>
  <c r="Q38" i="1"/>
  <c r="O38" i="1"/>
  <c r="N38" i="1"/>
  <c r="M38" i="1"/>
  <c r="L38" i="1"/>
  <c r="J38" i="1"/>
  <c r="AF38" i="1" s="1"/>
  <c r="I38" i="1"/>
  <c r="H38" i="1"/>
  <c r="X38" i="1" s="1"/>
  <c r="G38" i="1"/>
  <c r="F38" i="1"/>
  <c r="E38" i="1"/>
  <c r="D38" i="1"/>
  <c r="AG37" i="1"/>
  <c r="AF37" i="1"/>
  <c r="AE37" i="1"/>
  <c r="AD37" i="1"/>
  <c r="AC37" i="1"/>
  <c r="AB37" i="1"/>
  <c r="AA37" i="1"/>
  <c r="Z37" i="1"/>
  <c r="K37" i="1" s="1"/>
  <c r="Y37" i="1"/>
  <c r="W37" i="1"/>
  <c r="V37" i="1"/>
  <c r="U37" i="1"/>
  <c r="T37" i="1"/>
  <c r="S37" i="1"/>
  <c r="R37" i="1"/>
  <c r="Q37" i="1"/>
  <c r="P37" i="1"/>
  <c r="O37" i="1"/>
  <c r="N37" i="1"/>
  <c r="M37" i="1"/>
  <c r="L37" i="1"/>
  <c r="J37" i="1"/>
  <c r="I37" i="1"/>
  <c r="H37" i="1"/>
  <c r="X37" i="1" s="1"/>
  <c r="G37" i="1"/>
  <c r="F37" i="1"/>
  <c r="E37" i="1"/>
  <c r="D37" i="1"/>
  <c r="AG36" i="1"/>
  <c r="AE36" i="1"/>
  <c r="AD36" i="1"/>
  <c r="AC36" i="1"/>
  <c r="AA36" i="1"/>
  <c r="Z36" i="1"/>
  <c r="Y36" i="1"/>
  <c r="W36" i="1"/>
  <c r="V36" i="1"/>
  <c r="U36" i="1"/>
  <c r="T36" i="1"/>
  <c r="S36" i="1"/>
  <c r="R36" i="1"/>
  <c r="Q36" i="1"/>
  <c r="P36" i="1"/>
  <c r="O36" i="1"/>
  <c r="N36" i="1"/>
  <c r="M36" i="1"/>
  <c r="J36" i="1"/>
  <c r="I36" i="1"/>
  <c r="H36" i="1"/>
  <c r="X36" i="1" s="1"/>
  <c r="G36" i="1"/>
  <c r="F36" i="1"/>
  <c r="E36" i="1"/>
  <c r="D36" i="1"/>
  <c r="C36" i="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F34" i="1"/>
  <c r="E34" i="1"/>
  <c r="D34" i="1"/>
  <c r="C34" i="1"/>
  <c r="AG30" i="1"/>
  <c r="AF30" i="1"/>
  <c r="AE30" i="1"/>
  <c r="AD30" i="1"/>
  <c r="AC30" i="1"/>
  <c r="AA30" i="1"/>
  <c r="I30" i="1" s="1"/>
  <c r="AB30" i="1" s="1"/>
  <c r="Z30" i="1"/>
  <c r="Y30" i="1"/>
  <c r="X30" i="1"/>
  <c r="W30" i="1"/>
  <c r="V30" i="1" s="1"/>
  <c r="U30" i="1" s="1"/>
  <c r="T30" i="1" s="1"/>
  <c r="S30" i="1" s="1"/>
  <c r="R30" i="1" s="1"/>
  <c r="Q30" i="1" s="1"/>
  <c r="P30" i="1" s="1"/>
  <c r="O30" i="1" s="1"/>
  <c r="N30" i="1" s="1"/>
  <c r="M30" i="1" s="1"/>
  <c r="L30" i="1"/>
  <c r="K30" i="1"/>
  <c r="J30" i="1"/>
  <c r="AG29" i="1"/>
  <c r="AF29" i="1"/>
  <c r="AE29" i="1"/>
  <c r="AD29" i="1"/>
  <c r="AC29" i="1"/>
  <c r="Y29" i="1"/>
  <c r="Z29" i="1" s="1"/>
  <c r="AA29" i="1" s="1"/>
  <c r="U29" i="1"/>
  <c r="V29" i="1" s="1"/>
  <c r="T29" i="1"/>
  <c r="L29" i="1"/>
  <c r="K29" i="1"/>
  <c r="J29" i="1"/>
  <c r="I29" i="1"/>
  <c r="H29" i="1"/>
  <c r="G29" i="1"/>
  <c r="AG25" i="1"/>
  <c r="AE25" i="1"/>
  <c r="AD25" i="1"/>
  <c r="AC25" i="1"/>
  <c r="AF25" i="1" s="1"/>
  <c r="AA25" i="1"/>
  <c r="Z25" i="1"/>
  <c r="Y25" i="1"/>
  <c r="X25" i="1"/>
  <c r="W25" i="1"/>
  <c r="U25" i="1"/>
  <c r="T25" i="1"/>
  <c r="S25" i="1"/>
  <c r="R25" i="1"/>
  <c r="Q25" i="1"/>
  <c r="P25" i="1"/>
  <c r="O25" i="1"/>
  <c r="N25" i="1"/>
  <c r="M25" i="1"/>
  <c r="L25" i="1"/>
  <c r="K25" i="1"/>
  <c r="J25" i="1"/>
  <c r="I25" i="1"/>
  <c r="AB25" i="1" s="1"/>
  <c r="H25" i="1"/>
  <c r="V25" i="1" s="1"/>
  <c r="G25" i="1"/>
  <c r="F25" i="1"/>
  <c r="E25" i="1"/>
  <c r="D25" i="1"/>
  <c r="C25" i="1"/>
  <c r="AG23" i="1"/>
  <c r="AG40" i="1" s="1"/>
  <c r="AE23" i="1"/>
  <c r="AE40" i="1" s="1"/>
  <c r="AD23" i="1"/>
  <c r="AD40" i="1" s="1"/>
  <c r="AC23" i="1"/>
  <c r="AC40" i="1" s="1"/>
  <c r="AB23" i="1"/>
  <c r="AB40" i="1" s="1"/>
  <c r="AA23" i="1"/>
  <c r="AA40" i="1" s="1"/>
  <c r="Z23" i="1"/>
  <c r="Z40" i="1" s="1"/>
  <c r="Y23" i="1"/>
  <c r="Y40" i="1" s="1"/>
  <c r="X23" i="1"/>
  <c r="X40" i="1" s="1"/>
  <c r="W23" i="1"/>
  <c r="W40" i="1" s="1"/>
  <c r="V23" i="1"/>
  <c r="V40" i="1" s="1"/>
  <c r="U23" i="1"/>
  <c r="U40" i="1" s="1"/>
  <c r="T23" i="1"/>
  <c r="T40" i="1" s="1"/>
  <c r="S23" i="1"/>
  <c r="S40" i="1" s="1"/>
  <c r="R23" i="1"/>
  <c r="R40" i="1" s="1"/>
  <c r="Q23" i="1"/>
  <c r="Q40" i="1" s="1"/>
  <c r="P23" i="1"/>
  <c r="P40" i="1" s="1"/>
  <c r="O23" i="1"/>
  <c r="O40" i="1" s="1"/>
  <c r="N23" i="1"/>
  <c r="N40" i="1" s="1"/>
  <c r="M23" i="1"/>
  <c r="M40" i="1" s="1"/>
  <c r="L23" i="1"/>
  <c r="L40" i="1" s="1"/>
  <c r="K23" i="1"/>
  <c r="K40" i="1" s="1"/>
  <c r="J23" i="1"/>
  <c r="J40" i="1" s="1"/>
  <c r="I23" i="1"/>
  <c r="I40" i="1" s="1"/>
  <c r="H23" i="1"/>
  <c r="H40" i="1" s="1"/>
  <c r="G23" i="1"/>
  <c r="G40" i="1" s="1"/>
  <c r="F23" i="1"/>
  <c r="F40" i="1" s="1"/>
  <c r="E23" i="1"/>
  <c r="E40" i="1" s="1"/>
  <c r="AG22" i="1"/>
  <c r="AF22" i="1"/>
  <c r="AE22" i="1"/>
  <c r="AD22" i="1"/>
  <c r="AC22" i="1"/>
  <c r="AB22" i="1"/>
  <c r="AA22" i="1"/>
  <c r="Z22" i="1"/>
  <c r="Y22" i="1"/>
  <c r="X22" i="1"/>
  <c r="W22" i="1"/>
  <c r="U22" i="1"/>
  <c r="T22" i="1"/>
  <c r="S22" i="1"/>
  <c r="R22" i="1"/>
  <c r="Q22" i="1"/>
  <c r="P22" i="1"/>
  <c r="O22" i="1"/>
  <c r="N22" i="1"/>
  <c r="M22" i="1"/>
  <c r="L22" i="1"/>
  <c r="K22" i="1"/>
  <c r="J22" i="1"/>
  <c r="I22" i="1"/>
  <c r="H22" i="1"/>
  <c r="V22" i="1" s="1"/>
  <c r="G22" i="1"/>
  <c r="F22" i="1"/>
  <c r="E22" i="1"/>
  <c r="AG21" i="1"/>
  <c r="AE21" i="1"/>
  <c r="AD21" i="1"/>
  <c r="AC21" i="1"/>
  <c r="AA21" i="1"/>
  <c r="Z21" i="1"/>
  <c r="Y21" i="1"/>
  <c r="X21" i="1"/>
  <c r="W21" i="1"/>
  <c r="V21" i="1"/>
  <c r="U21" i="1"/>
  <c r="T21" i="1"/>
  <c r="S21" i="1"/>
  <c r="R21" i="1"/>
  <c r="Q21" i="1"/>
  <c r="P21" i="1"/>
  <c r="O21" i="1"/>
  <c r="N21" i="1"/>
  <c r="M21" i="1"/>
  <c r="L21" i="1"/>
  <c r="K21" i="1"/>
  <c r="J21" i="1"/>
  <c r="I21" i="1"/>
  <c r="H21" i="1"/>
  <c r="G21" i="1"/>
  <c r="F21" i="1"/>
  <c r="E21" i="1"/>
  <c r="D21" i="1"/>
  <c r="C21" i="1"/>
  <c r="AG19" i="1"/>
  <c r="AE19" i="1"/>
  <c r="AD19" i="1"/>
  <c r="AC19" i="1"/>
  <c r="AA19" i="1"/>
  <c r="Z19" i="1"/>
  <c r="AB19" i="1" s="1"/>
  <c r="Y19" i="1"/>
  <c r="X19" i="1"/>
  <c r="W19" i="1"/>
  <c r="V19" i="1"/>
  <c r="U19" i="1"/>
  <c r="T19" i="1"/>
  <c r="S19" i="1"/>
  <c r="R19" i="1"/>
  <c r="Q19" i="1"/>
  <c r="P19" i="1"/>
  <c r="O19" i="1"/>
  <c r="N19" i="1"/>
  <c r="M19" i="1"/>
  <c r="L19" i="1"/>
  <c r="K19" i="1"/>
  <c r="J19" i="1"/>
  <c r="AF19" i="1" s="1"/>
  <c r="I19" i="1"/>
  <c r="H19" i="1"/>
  <c r="G19" i="1"/>
  <c r="F19" i="1"/>
  <c r="E19" i="1"/>
  <c r="D19" i="1"/>
  <c r="C19" i="1"/>
  <c r="AG18" i="1"/>
  <c r="AE18" i="1"/>
  <c r="AD18" i="1"/>
  <c r="AC18" i="1"/>
  <c r="AA18" i="1"/>
  <c r="Z18" i="1"/>
  <c r="Y18" i="1"/>
  <c r="X18" i="1"/>
  <c r="W18" i="1"/>
  <c r="V18" i="1"/>
  <c r="U18" i="1"/>
  <c r="T18" i="1"/>
  <c r="S18" i="1"/>
  <c r="R18" i="1"/>
  <c r="Q18" i="1"/>
  <c r="P18" i="1"/>
  <c r="O18" i="1"/>
  <c r="N18" i="1"/>
  <c r="M18" i="1"/>
  <c r="L18" i="1"/>
  <c r="K18" i="1"/>
  <c r="J18" i="1"/>
  <c r="AF18" i="1" s="1"/>
  <c r="I18" i="1"/>
  <c r="AB18" i="1" s="1"/>
  <c r="H18" i="1"/>
  <c r="G18" i="1"/>
  <c r="F18" i="1"/>
  <c r="E18" i="1"/>
  <c r="D18" i="1"/>
  <c r="C18" i="1"/>
  <c r="AG17" i="1"/>
  <c r="AG20" i="1" s="1"/>
  <c r="AC17" i="1"/>
  <c r="AC20" i="1" s="1"/>
  <c r="AG16" i="1"/>
  <c r="AF16" i="1"/>
  <c r="AE16" i="1"/>
  <c r="AD16" i="1"/>
  <c r="AC16" i="1"/>
  <c r="AB16" i="1"/>
  <c r="AA16" i="1"/>
  <c r="Z16" i="1"/>
  <c r="Y16" i="1"/>
  <c r="W16" i="1"/>
  <c r="V16" i="1"/>
  <c r="U16" i="1"/>
  <c r="T16" i="1"/>
  <c r="S16" i="1"/>
  <c r="S75" i="1" s="1"/>
  <c r="R16" i="1"/>
  <c r="Q16" i="1"/>
  <c r="P16" i="1"/>
  <c r="O16" i="1"/>
  <c r="N16" i="1"/>
  <c r="M16" i="1"/>
  <c r="M75" i="1" s="1"/>
  <c r="L16" i="1"/>
  <c r="K16" i="1"/>
  <c r="J16" i="1"/>
  <c r="I16" i="1"/>
  <c r="H16" i="1"/>
  <c r="X16" i="1" s="1"/>
  <c r="G16" i="1"/>
  <c r="G75" i="1" s="1"/>
  <c r="F16" i="1"/>
  <c r="F75" i="1" s="1"/>
  <c r="E16" i="1"/>
  <c r="E75" i="1" s="1"/>
  <c r="D16" i="1"/>
  <c r="C16" i="1"/>
  <c r="AG15" i="1"/>
  <c r="AG58" i="1" s="1"/>
  <c r="AG59" i="1" s="1"/>
  <c r="AE15" i="1"/>
  <c r="AE58" i="1" s="1"/>
  <c r="AE59" i="1" s="1"/>
  <c r="AD15" i="1"/>
  <c r="AC15" i="1"/>
  <c r="AC58" i="1" s="1"/>
  <c r="AC59" i="1" s="1"/>
  <c r="AB15" i="1"/>
  <c r="AB17" i="1" s="1"/>
  <c r="AB20" i="1" s="1"/>
  <c r="AA15" i="1"/>
  <c r="AA58" i="1" s="1"/>
  <c r="AA59" i="1" s="1"/>
  <c r="Z15" i="1"/>
  <c r="Y15" i="1"/>
  <c r="Y58" i="1" s="1"/>
  <c r="Y59" i="1" s="1"/>
  <c r="X15" i="1"/>
  <c r="X17" i="1" s="1"/>
  <c r="X20" i="1" s="1"/>
  <c r="W15" i="1"/>
  <c r="W58" i="1" s="1"/>
  <c r="W59" i="1" s="1"/>
  <c r="V15" i="1"/>
  <c r="U15" i="1"/>
  <c r="U58" i="1" s="1"/>
  <c r="U59" i="1" s="1"/>
  <c r="T15" i="1"/>
  <c r="T17" i="1" s="1"/>
  <c r="T20" i="1" s="1"/>
  <c r="S15" i="1"/>
  <c r="S58" i="1" s="1"/>
  <c r="S59" i="1" s="1"/>
  <c r="R15" i="1"/>
  <c r="Q15" i="1"/>
  <c r="Q58" i="1" s="1"/>
  <c r="Q59" i="1" s="1"/>
  <c r="P15" i="1"/>
  <c r="P17" i="1" s="1"/>
  <c r="P20" i="1" s="1"/>
  <c r="O15" i="1"/>
  <c r="O58" i="1" s="1"/>
  <c r="O59" i="1" s="1"/>
  <c r="N15" i="1"/>
  <c r="M15" i="1"/>
  <c r="M58" i="1" s="1"/>
  <c r="M59" i="1" s="1"/>
  <c r="L15" i="1"/>
  <c r="L17" i="1" s="1"/>
  <c r="L20" i="1" s="1"/>
  <c r="K15" i="1"/>
  <c r="K58" i="1" s="1"/>
  <c r="K59" i="1" s="1"/>
  <c r="J15" i="1"/>
  <c r="I15" i="1"/>
  <c r="I58" i="1" s="1"/>
  <c r="I59" i="1" s="1"/>
  <c r="H15" i="1"/>
  <c r="H17" i="1" s="1"/>
  <c r="H20" i="1" s="1"/>
  <c r="G15" i="1"/>
  <c r="G58" i="1" s="1"/>
  <c r="G59" i="1" s="1"/>
  <c r="F15" i="1"/>
  <c r="E15" i="1"/>
  <c r="E58" i="1" s="1"/>
  <c r="E59" i="1" s="1"/>
  <c r="D15" i="1"/>
  <c r="D17" i="1" s="1"/>
  <c r="D20" i="1" s="1"/>
  <c r="C15" i="1"/>
  <c r="C58" i="1" s="1"/>
  <c r="C59" i="1" s="1"/>
  <c r="AG12" i="1"/>
  <c r="AE12" i="1"/>
  <c r="AD12" i="1"/>
  <c r="AC12" i="1"/>
  <c r="AB12" i="1"/>
  <c r="AA12" i="1"/>
  <c r="Z12" i="1"/>
  <c r="Y12" i="1"/>
  <c r="X12" i="1"/>
  <c r="W12" i="1"/>
  <c r="V12" i="1"/>
  <c r="U12" i="1"/>
  <c r="T12" i="1"/>
  <c r="S12" i="1"/>
  <c r="R12" i="1"/>
  <c r="Q12" i="1"/>
  <c r="P12" i="1"/>
  <c r="O12" i="1"/>
  <c r="N12" i="1"/>
  <c r="M12" i="1"/>
  <c r="L12" i="1"/>
  <c r="K12" i="1"/>
  <c r="J12" i="1"/>
  <c r="AF12" i="1" s="1"/>
  <c r="I12" i="1"/>
  <c r="H12" i="1"/>
  <c r="G12" i="1"/>
  <c r="F12" i="1"/>
  <c r="E12" i="1"/>
  <c r="D12" i="1"/>
  <c r="C12" i="1"/>
  <c r="AG9" i="1"/>
  <c r="AE9" i="1"/>
  <c r="AD9" i="1"/>
  <c r="AC9" i="1"/>
  <c r="Z9" i="1"/>
  <c r="L9" i="1"/>
  <c r="K9" i="1"/>
  <c r="J9" i="1"/>
  <c r="AF9" i="1" s="1"/>
  <c r="A9" i="1"/>
  <c r="AG8" i="1"/>
  <c r="AF8" i="1"/>
  <c r="AE8" i="1"/>
  <c r="AD8" i="1"/>
  <c r="AC8" i="1"/>
  <c r="Z8" i="1"/>
  <c r="L8" i="1"/>
  <c r="K8" i="1"/>
  <c r="J8" i="1"/>
  <c r="AB7" i="1"/>
  <c r="V7" i="1"/>
  <c r="U7" i="1"/>
  <c r="T7" i="1"/>
  <c r="S7" i="1"/>
  <c r="R7" i="1"/>
  <c r="Q7" i="1"/>
  <c r="P7" i="1"/>
  <c r="O7" i="1"/>
  <c r="N7" i="1"/>
  <c r="M7" i="1"/>
  <c r="J7" i="1"/>
  <c r="AG6" i="1"/>
  <c r="AG7" i="1" s="1"/>
  <c r="AE6" i="1"/>
  <c r="AE7" i="1" s="1"/>
  <c r="AD6" i="1"/>
  <c r="AC6" i="1"/>
  <c r="AC7" i="1" s="1"/>
  <c r="AB6" i="1"/>
  <c r="AA6" i="1"/>
  <c r="AA7" i="1" s="1"/>
  <c r="Z6" i="1"/>
  <c r="Y6" i="1"/>
  <c r="Y7" i="1" s="1"/>
  <c r="X6" i="1"/>
  <c r="X7" i="1" s="1"/>
  <c r="W6" i="1"/>
  <c r="W7" i="1" s="1"/>
  <c r="L6" i="1"/>
  <c r="L7" i="1" s="1"/>
  <c r="K6" i="1"/>
  <c r="K7" i="1" s="1"/>
  <c r="J6" i="1"/>
  <c r="AF6" i="1" s="1"/>
  <c r="I6" i="1"/>
  <c r="I7" i="1" s="1"/>
  <c r="H6" i="1"/>
  <c r="H7" i="1" s="1"/>
  <c r="G6" i="1"/>
  <c r="G7" i="1" s="1"/>
  <c r="AG5" i="1"/>
  <c r="AE5" i="1"/>
  <c r="AD5" i="1"/>
  <c r="AC5" i="1"/>
  <c r="AB5" i="1"/>
  <c r="AA5" i="1"/>
  <c r="Z5" i="1"/>
  <c r="Y5" i="1"/>
  <c r="X5" i="1"/>
  <c r="W5" i="1"/>
  <c r="L5" i="1"/>
  <c r="K5" i="1"/>
  <c r="J5" i="1"/>
  <c r="AF5" i="1" s="1"/>
  <c r="I5" i="1"/>
  <c r="H5" i="1"/>
  <c r="G5" i="1"/>
  <c r="F5" i="1"/>
  <c r="F7" i="1" s="1"/>
  <c r="E5" i="1"/>
  <c r="E7" i="1" s="1"/>
  <c r="D5" i="1"/>
  <c r="D7" i="1" s="1"/>
  <c r="C5" i="1"/>
  <c r="C7" i="1" s="1"/>
  <c r="J4" i="1"/>
  <c r="I4" i="1"/>
  <c r="H4" i="1"/>
  <c r="AF7" i="1" l="1"/>
  <c r="Z7" i="1"/>
  <c r="AD7" i="1"/>
  <c r="AB29" i="1"/>
  <c r="AC27" i="1"/>
  <c r="AC24" i="1"/>
  <c r="AC26" i="1" s="1"/>
  <c r="AG28" i="1"/>
  <c r="X29" i="1"/>
  <c r="W29" i="1"/>
  <c r="D27" i="1"/>
  <c r="D28" i="1" s="1"/>
  <c r="D24" i="1"/>
  <c r="D26" i="1" s="1"/>
  <c r="H27" i="1"/>
  <c r="H24" i="1"/>
  <c r="H26" i="1" s="1"/>
  <c r="L27" i="1"/>
  <c r="L24" i="1"/>
  <c r="L26" i="1" s="1"/>
  <c r="P27" i="1"/>
  <c r="P24" i="1"/>
  <c r="P26" i="1" s="1"/>
  <c r="T27" i="1"/>
  <c r="T24" i="1"/>
  <c r="T26" i="1" s="1"/>
  <c r="X27" i="1"/>
  <c r="X24" i="1"/>
  <c r="X26" i="1" s="1"/>
  <c r="AG27" i="1"/>
  <c r="AG24" i="1"/>
  <c r="AG26" i="1" s="1"/>
  <c r="H28" i="1"/>
  <c r="L28" i="1"/>
  <c r="P28" i="1"/>
  <c r="T28" i="1"/>
  <c r="X28" i="1"/>
  <c r="AC28" i="1"/>
  <c r="F58" i="1"/>
  <c r="F59" i="1" s="1"/>
  <c r="F35" i="1"/>
  <c r="J58" i="1"/>
  <c r="J35" i="1"/>
  <c r="N58" i="1"/>
  <c r="N59" i="1" s="1"/>
  <c r="N35" i="1"/>
  <c r="R58" i="1"/>
  <c r="R35" i="1"/>
  <c r="V58" i="1"/>
  <c r="V59" i="1" s="1"/>
  <c r="V35" i="1"/>
  <c r="Z58" i="1"/>
  <c r="Z59" i="1" s="1"/>
  <c r="Z35" i="1"/>
  <c r="AD58" i="1"/>
  <c r="AD59" i="1" s="1"/>
  <c r="AD35" i="1"/>
  <c r="AB21" i="1"/>
  <c r="AB28" i="1" s="1"/>
  <c r="AF21" i="1"/>
  <c r="G35" i="1"/>
  <c r="O35" i="1"/>
  <c r="W35" i="1"/>
  <c r="AE35" i="1"/>
  <c r="AB38" i="1"/>
  <c r="K38" i="1" s="1"/>
  <c r="K36" i="1" s="1"/>
  <c r="C72" i="1"/>
  <c r="C48" i="1"/>
  <c r="C53" i="1" s="1"/>
  <c r="G72" i="1"/>
  <c r="G71" i="1" s="1"/>
  <c r="G48" i="1"/>
  <c r="G53" i="1" s="1"/>
  <c r="K72" i="1"/>
  <c r="K48" i="1"/>
  <c r="K53" i="1" s="1"/>
  <c r="O72" i="1"/>
  <c r="O48" i="1"/>
  <c r="O53" i="1" s="1"/>
  <c r="S72" i="1"/>
  <c r="S48" i="1"/>
  <c r="S53" i="1" s="1"/>
  <c r="W72" i="1"/>
  <c r="W71" i="1" s="1"/>
  <c r="W48" i="1"/>
  <c r="W53" i="1" s="1"/>
  <c r="AA72" i="1"/>
  <c r="AA71" i="1" s="1"/>
  <c r="AA48" i="1"/>
  <c r="AA53" i="1" s="1"/>
  <c r="AE72" i="1"/>
  <c r="AE71" i="1" s="1"/>
  <c r="AE48" i="1"/>
  <c r="AE53" i="1" s="1"/>
  <c r="F48" i="1"/>
  <c r="F53" i="1" s="1"/>
  <c r="V72" i="1"/>
  <c r="V48" i="1"/>
  <c r="V53" i="1" s="1"/>
  <c r="AC50" i="1"/>
  <c r="C75" i="1"/>
  <c r="J75" i="1"/>
  <c r="Q75" i="1"/>
  <c r="X75" i="1"/>
  <c r="AB75" i="1"/>
  <c r="AG75" i="1"/>
  <c r="E17" i="1"/>
  <c r="E20" i="1" s="1"/>
  <c r="E28" i="1" s="1"/>
  <c r="I17" i="1"/>
  <c r="I20" i="1" s="1"/>
  <c r="M17" i="1"/>
  <c r="M20" i="1" s="1"/>
  <c r="M28" i="1" s="1"/>
  <c r="Q17" i="1"/>
  <c r="Q20" i="1" s="1"/>
  <c r="Q28" i="1" s="1"/>
  <c r="U17" i="1"/>
  <c r="U20" i="1" s="1"/>
  <c r="U28" i="1" s="1"/>
  <c r="Y17" i="1"/>
  <c r="Y20" i="1" s="1"/>
  <c r="I35" i="1"/>
  <c r="Q35" i="1"/>
  <c r="Y35" i="1"/>
  <c r="AG35" i="1"/>
  <c r="D72" i="1"/>
  <c r="D71" i="1" s="1"/>
  <c r="H72" i="1"/>
  <c r="H71" i="1" s="1"/>
  <c r="L72" i="1"/>
  <c r="L71" i="1" s="1"/>
  <c r="P72" i="1"/>
  <c r="T73" i="1" s="1"/>
  <c r="T72" i="1"/>
  <c r="X72" i="1"/>
  <c r="AB73" i="1" s="1"/>
  <c r="AB72" i="1"/>
  <c r="AF72" i="1"/>
  <c r="J48" i="1"/>
  <c r="J53" i="1" s="1"/>
  <c r="Z72" i="1"/>
  <c r="Z71" i="1" s="1"/>
  <c r="Z48" i="1"/>
  <c r="Z53" i="1" s="1"/>
  <c r="H48" i="1"/>
  <c r="H53" i="1" s="1"/>
  <c r="X48" i="1"/>
  <c r="X53" i="1" s="1"/>
  <c r="D50" i="1"/>
  <c r="U50" i="1"/>
  <c r="Y50" i="1"/>
  <c r="D58" i="1"/>
  <c r="D59" i="1" s="1"/>
  <c r="D35" i="1"/>
  <c r="H58" i="1"/>
  <c r="H59" i="1" s="1"/>
  <c r="H35" i="1"/>
  <c r="L58" i="1"/>
  <c r="L59" i="1" s="1"/>
  <c r="L35" i="1"/>
  <c r="P58" i="1"/>
  <c r="P59" i="1" s="1"/>
  <c r="P35" i="1"/>
  <c r="T58" i="1"/>
  <c r="T35" i="1"/>
  <c r="X58" i="1"/>
  <c r="X35" i="1"/>
  <c r="AB58" i="1"/>
  <c r="AB35" i="1"/>
  <c r="AF15" i="1"/>
  <c r="F17" i="1"/>
  <c r="F20" i="1" s="1"/>
  <c r="J17" i="1"/>
  <c r="J20" i="1" s="1"/>
  <c r="J28" i="1" s="1"/>
  <c r="N17" i="1"/>
  <c r="N20" i="1" s="1"/>
  <c r="R17" i="1"/>
  <c r="R20" i="1" s="1"/>
  <c r="V17" i="1"/>
  <c r="V20" i="1" s="1"/>
  <c r="Z17" i="1"/>
  <c r="Z20" i="1" s="1"/>
  <c r="Z28" i="1" s="1"/>
  <c r="AD17" i="1"/>
  <c r="AD20" i="1" s="1"/>
  <c r="AF23" i="1"/>
  <c r="AF40" i="1" s="1"/>
  <c r="C35" i="1"/>
  <c r="K35" i="1"/>
  <c r="S35" i="1"/>
  <c r="AA35" i="1"/>
  <c r="E46" i="1"/>
  <c r="I46" i="1"/>
  <c r="J72" i="1" s="1"/>
  <c r="M48" i="1"/>
  <c r="M53" i="1" s="1"/>
  <c r="Q72" i="1"/>
  <c r="Q73" i="1" s="1"/>
  <c r="Q48" i="1"/>
  <c r="Q53" i="1" s="1"/>
  <c r="U72" i="1"/>
  <c r="U71" i="1" s="1"/>
  <c r="U48" i="1"/>
  <c r="U53" i="1" s="1"/>
  <c r="Y72" i="1"/>
  <c r="Y71" i="1" s="1"/>
  <c r="Y48" i="1"/>
  <c r="Y53" i="1" s="1"/>
  <c r="AC46" i="1"/>
  <c r="AG72" i="1"/>
  <c r="AG71" i="1" s="1"/>
  <c r="AG48" i="1"/>
  <c r="AG53" i="1" s="1"/>
  <c r="O73" i="1"/>
  <c r="N72" i="1"/>
  <c r="N48" i="1"/>
  <c r="N53" i="1" s="1"/>
  <c r="AD48" i="1"/>
  <c r="AD53" i="1" s="1"/>
  <c r="L48" i="1"/>
  <c r="L53" i="1" s="1"/>
  <c r="AB48" i="1"/>
  <c r="E50" i="1"/>
  <c r="I50" i="1"/>
  <c r="AB49" i="1"/>
  <c r="M54" i="1"/>
  <c r="M50" i="1"/>
  <c r="Q54" i="1"/>
  <c r="Q50" i="1"/>
  <c r="C17" i="1"/>
  <c r="C20" i="1" s="1"/>
  <c r="G17" i="1"/>
  <c r="G20" i="1" s="1"/>
  <c r="K17" i="1"/>
  <c r="K20" i="1" s="1"/>
  <c r="K28" i="1" s="1"/>
  <c r="O17" i="1"/>
  <c r="O20" i="1" s="1"/>
  <c r="O28" i="1" s="1"/>
  <c r="S17" i="1"/>
  <c r="S20" i="1" s="1"/>
  <c r="S28" i="1" s="1"/>
  <c r="W17" i="1"/>
  <c r="W20" i="1" s="1"/>
  <c r="AA17" i="1"/>
  <c r="AA20" i="1" s="1"/>
  <c r="AA28" i="1" s="1"/>
  <c r="AE17" i="1"/>
  <c r="AE20" i="1" s="1"/>
  <c r="E35" i="1"/>
  <c r="M35" i="1"/>
  <c r="U35" i="1"/>
  <c r="AC35" i="1"/>
  <c r="L36" i="1"/>
  <c r="AB36" i="1"/>
  <c r="AF36" i="1"/>
  <c r="P38" i="1"/>
  <c r="K39" i="1"/>
  <c r="W73" i="1"/>
  <c r="R72" i="1"/>
  <c r="S73" i="1" s="1"/>
  <c r="R48" i="1"/>
  <c r="R53" i="1" s="1"/>
  <c r="P48" i="1"/>
  <c r="P53" i="1" s="1"/>
  <c r="AF48" i="1"/>
  <c r="W50" i="1"/>
  <c r="AA50" i="1"/>
  <c r="AG54" i="1"/>
  <c r="AG50" i="1"/>
  <c r="F54" i="1"/>
  <c r="F74" i="1" s="1"/>
  <c r="J54" i="1"/>
  <c r="N54" i="1"/>
  <c r="R54" i="1"/>
  <c r="V54" i="1"/>
  <c r="Z54" i="1"/>
  <c r="AD54" i="1"/>
  <c r="J74" i="1"/>
  <c r="R59" i="1"/>
  <c r="R64" i="1"/>
  <c r="R70" i="1" s="1"/>
  <c r="T60" i="1"/>
  <c r="T61" i="1"/>
  <c r="S64" i="1"/>
  <c r="S70" i="1" s="1"/>
  <c r="D75" i="1"/>
  <c r="K75" i="1"/>
  <c r="R75" i="1"/>
  <c r="Y75" i="1"/>
  <c r="AC75" i="1"/>
  <c r="C54" i="1"/>
  <c r="G54" i="1"/>
  <c r="G74" i="1" s="1"/>
  <c r="K54" i="1"/>
  <c r="O54" i="1"/>
  <c r="S54" i="1"/>
  <c r="W54" i="1"/>
  <c r="AA54" i="1"/>
  <c r="AE54" i="1"/>
  <c r="C74" i="1"/>
  <c r="K74" i="1"/>
  <c r="H75" i="1"/>
  <c r="L75" i="1"/>
  <c r="U75" i="1"/>
  <c r="Z75" i="1"/>
  <c r="AD75" i="1"/>
  <c r="D54" i="1"/>
  <c r="D74" i="1" s="1"/>
  <c r="H54" i="1"/>
  <c r="H74" i="1" s="1"/>
  <c r="L54" i="1"/>
  <c r="P54" i="1"/>
  <c r="T49" i="1"/>
  <c r="T53" i="1" s="1"/>
  <c r="X54" i="1"/>
  <c r="AF49" i="1"/>
  <c r="P61" i="1"/>
  <c r="I75" i="1"/>
  <c r="N75" i="1"/>
  <c r="W75" i="1"/>
  <c r="AA75" i="1"/>
  <c r="AE75" i="1"/>
  <c r="X60" i="1"/>
  <c r="AB60" i="1"/>
  <c r="AF60" i="1"/>
  <c r="O63" i="1"/>
  <c r="T63" i="1"/>
  <c r="T75" i="1" s="1"/>
  <c r="AF63" i="1"/>
  <c r="AF75" i="1" s="1"/>
  <c r="I64" i="1"/>
  <c r="I70" i="1" s="1"/>
  <c r="Q64" i="1"/>
  <c r="Q70" i="1" s="1"/>
  <c r="L74" i="1"/>
  <c r="J64" i="1"/>
  <c r="N64" i="1"/>
  <c r="N70" i="1" s="1"/>
  <c r="V63" i="1"/>
  <c r="V75" i="1" s="1"/>
  <c r="C64" i="1"/>
  <c r="C70" i="1" s="1"/>
  <c r="K64" i="1"/>
  <c r="K70" i="1" s="1"/>
  <c r="J71" i="1" l="1"/>
  <c r="P64" i="1"/>
  <c r="P70" i="1" s="1"/>
  <c r="O75" i="1"/>
  <c r="P63" i="1"/>
  <c r="P75" i="1" s="1"/>
  <c r="AF54" i="1"/>
  <c r="AF50" i="1"/>
  <c r="AF53" i="1"/>
  <c r="W27" i="1"/>
  <c r="W24" i="1"/>
  <c r="W26" i="1" s="1"/>
  <c r="G27" i="1"/>
  <c r="G24" i="1"/>
  <c r="G26" i="1" s="1"/>
  <c r="N71" i="1"/>
  <c r="N73" i="1"/>
  <c r="E72" i="1"/>
  <c r="E71" i="1" s="1"/>
  <c r="E48" i="1"/>
  <c r="V24" i="1"/>
  <c r="V26" i="1" s="1"/>
  <c r="V27" i="1"/>
  <c r="F24" i="1"/>
  <c r="F26" i="1" s="1"/>
  <c r="F27" i="1"/>
  <c r="Y27" i="1"/>
  <c r="Y24" i="1"/>
  <c r="Y26" i="1" s="1"/>
  <c r="I27" i="1"/>
  <c r="I24" i="1"/>
  <c r="I26" i="1" s="1"/>
  <c r="X73" i="1"/>
  <c r="AC41" i="1"/>
  <c r="AC42" i="1" s="1"/>
  <c r="AC31" i="1"/>
  <c r="AF64" i="1"/>
  <c r="J70" i="1"/>
  <c r="AF70" i="1" s="1"/>
  <c r="O64" i="1"/>
  <c r="O70" i="1" s="1"/>
  <c r="T64" i="1"/>
  <c r="T70" i="1" s="1"/>
  <c r="T71" i="1" s="1"/>
  <c r="T59" i="1"/>
  <c r="S27" i="1"/>
  <c r="S24" i="1"/>
  <c r="S26" i="1" s="1"/>
  <c r="C27" i="1"/>
  <c r="C28" i="1" s="1"/>
  <c r="C24" i="1"/>
  <c r="C26" i="1" s="1"/>
  <c r="AC72" i="1"/>
  <c r="AC48" i="1"/>
  <c r="V73" i="1"/>
  <c r="R73" i="1"/>
  <c r="R24" i="1"/>
  <c r="R26" i="1" s="1"/>
  <c r="R27" i="1"/>
  <c r="AF35" i="1"/>
  <c r="AF17" i="1"/>
  <c r="AF20" i="1" s="1"/>
  <c r="Y54" i="1"/>
  <c r="AC73" i="1"/>
  <c r="U27" i="1"/>
  <c r="U24" i="1"/>
  <c r="U26" i="1" s="1"/>
  <c r="E27" i="1"/>
  <c r="E24" i="1"/>
  <c r="E26" i="1" s="1"/>
  <c r="F72" i="1"/>
  <c r="F71" i="1" s="1"/>
  <c r="AF28" i="1"/>
  <c r="AB24" i="1"/>
  <c r="AB26" i="1" s="1"/>
  <c r="T41" i="1"/>
  <c r="T42" i="1" s="1"/>
  <c r="T31" i="1"/>
  <c r="L41" i="1"/>
  <c r="L42" i="1" s="1"/>
  <c r="L31" i="1"/>
  <c r="D41" i="1"/>
  <c r="D42" i="1" s="1"/>
  <c r="D31" i="1"/>
  <c r="V28" i="1"/>
  <c r="F28" i="1"/>
  <c r="AB64" i="1"/>
  <c r="AB70" i="1" s="1"/>
  <c r="AB71" i="1" s="1"/>
  <c r="AB59" i="1"/>
  <c r="T54" i="1"/>
  <c r="T50" i="1"/>
  <c r="AE27" i="1"/>
  <c r="AE24" i="1"/>
  <c r="AE26" i="1" s="1"/>
  <c r="O27" i="1"/>
  <c r="O24" i="1"/>
  <c r="O26" i="1" s="1"/>
  <c r="AB54" i="1"/>
  <c r="AB50" i="1"/>
  <c r="AD72" i="1"/>
  <c r="AD71" i="1" s="1"/>
  <c r="Z73" i="1"/>
  <c r="Q71" i="1"/>
  <c r="M72" i="1"/>
  <c r="M71" i="1" s="1"/>
  <c r="AD24" i="1"/>
  <c r="AD26" i="1" s="1"/>
  <c r="AD27" i="1"/>
  <c r="N24" i="1"/>
  <c r="N26" i="1" s="1"/>
  <c r="N27" i="1"/>
  <c r="X71" i="1"/>
  <c r="U73" i="1"/>
  <c r="Q27" i="1"/>
  <c r="Q24" i="1"/>
  <c r="Q26" i="1" s="1"/>
  <c r="O71" i="1"/>
  <c r="K71" i="1"/>
  <c r="C71" i="1"/>
  <c r="J59" i="1"/>
  <c r="AF59" i="1" s="1"/>
  <c r="AF58" i="1"/>
  <c r="AB27" i="1"/>
  <c r="R28" i="1"/>
  <c r="AD28" i="1"/>
  <c r="X64" i="1"/>
  <c r="X70" i="1" s="1"/>
  <c r="X59" i="1"/>
  <c r="V64" i="1"/>
  <c r="V70" i="1" s="1"/>
  <c r="V71" i="1" s="1"/>
  <c r="R71" i="1"/>
  <c r="AA27" i="1"/>
  <c r="AA24" i="1"/>
  <c r="AA26" i="1" s="1"/>
  <c r="K27" i="1"/>
  <c r="K24" i="1"/>
  <c r="K26" i="1" s="1"/>
  <c r="AB53" i="1"/>
  <c r="I72" i="1"/>
  <c r="I71" i="1" s="1"/>
  <c r="I48" i="1"/>
  <c r="Z24" i="1"/>
  <c r="Z26" i="1" s="1"/>
  <c r="Z27" i="1"/>
  <c r="J24" i="1"/>
  <c r="J26" i="1" s="1"/>
  <c r="J27" i="1"/>
  <c r="U54" i="1"/>
  <c r="Y73" i="1"/>
  <c r="P71" i="1"/>
  <c r="M27" i="1"/>
  <c r="M24" i="1"/>
  <c r="M26" i="1" s="1"/>
  <c r="AA73" i="1"/>
  <c r="S71" i="1"/>
  <c r="P73" i="1"/>
  <c r="AG41" i="1"/>
  <c r="AG42" i="1" s="1"/>
  <c r="AG31" i="1"/>
  <c r="X41" i="1"/>
  <c r="X42" i="1" s="1"/>
  <c r="X31" i="1"/>
  <c r="P41" i="1"/>
  <c r="P42" i="1" s="1"/>
  <c r="P31" i="1"/>
  <c r="H41" i="1"/>
  <c r="H42" i="1" s="1"/>
  <c r="H31" i="1"/>
  <c r="W28" i="1"/>
  <c r="G28" i="1"/>
  <c r="AE28" i="1"/>
  <c r="N28" i="1"/>
  <c r="Y28" i="1"/>
  <c r="I28" i="1"/>
  <c r="N31" i="1" l="1"/>
  <c r="N41" i="1"/>
  <c r="N42" i="1" s="1"/>
  <c r="E41" i="1"/>
  <c r="E42" i="1" s="1"/>
  <c r="E31" i="1"/>
  <c r="AC53" i="1"/>
  <c r="AC54" i="1"/>
  <c r="S41" i="1"/>
  <c r="S42" i="1" s="1"/>
  <c r="S31" i="1"/>
  <c r="Y41" i="1"/>
  <c r="Y42" i="1" s="1"/>
  <c r="Y31" i="1"/>
  <c r="E53" i="1"/>
  <c r="E54" i="1"/>
  <c r="E74" i="1" s="1"/>
  <c r="M41" i="1"/>
  <c r="M42" i="1" s="1"/>
  <c r="M31" i="1"/>
  <c r="Z31" i="1"/>
  <c r="Z41" i="1"/>
  <c r="Z42" i="1" s="1"/>
  <c r="K41" i="1"/>
  <c r="K42" i="1" s="1"/>
  <c r="K31" i="1"/>
  <c r="AF73" i="1"/>
  <c r="O41" i="1"/>
  <c r="O42" i="1" s="1"/>
  <c r="O31" i="1"/>
  <c r="AB41" i="1"/>
  <c r="AB42" i="1" s="1"/>
  <c r="AB31" i="1"/>
  <c r="R31" i="1"/>
  <c r="R41" i="1"/>
  <c r="R42" i="1" s="1"/>
  <c r="AC71" i="1"/>
  <c r="AD73" i="1"/>
  <c r="F31" i="1"/>
  <c r="F41" i="1"/>
  <c r="F42" i="1" s="1"/>
  <c r="M73" i="1"/>
  <c r="G41" i="1"/>
  <c r="G42" i="1" s="1"/>
  <c r="G31" i="1"/>
  <c r="I53" i="1"/>
  <c r="I54" i="1"/>
  <c r="I74" i="1" s="1"/>
  <c r="AD31" i="1"/>
  <c r="AD41" i="1"/>
  <c r="AD42" i="1" s="1"/>
  <c r="U41" i="1"/>
  <c r="U42" i="1" s="1"/>
  <c r="U31" i="1"/>
  <c r="AF27" i="1"/>
  <c r="AF24" i="1"/>
  <c r="AF26" i="1" s="1"/>
  <c r="C41" i="1"/>
  <c r="C42" i="1" s="1"/>
  <c r="C31" i="1"/>
  <c r="I41" i="1"/>
  <c r="I42" i="1" s="1"/>
  <c r="I31" i="1"/>
  <c r="J31" i="1"/>
  <c r="J41" i="1"/>
  <c r="J42" i="1" s="1"/>
  <c r="AF42" i="1" s="1"/>
  <c r="AA41" i="1"/>
  <c r="AA42" i="1" s="1"/>
  <c r="AA31" i="1"/>
  <c r="Q41" i="1"/>
  <c r="Q42" i="1" s="1"/>
  <c r="Q31" i="1"/>
  <c r="AE41" i="1"/>
  <c r="AE42" i="1" s="1"/>
  <c r="AE31" i="1"/>
  <c r="V31" i="1"/>
  <c r="V41" i="1"/>
  <c r="V42" i="1" s="1"/>
  <c r="W41" i="1"/>
  <c r="W42" i="1" s="1"/>
  <c r="W31" i="1"/>
  <c r="AF71" i="1"/>
  <c r="AF41" i="1" l="1"/>
  <c r="AF31" i="1"/>
</calcChain>
</file>

<file path=xl/sharedStrings.xml><?xml version="1.0" encoding="utf-8"?>
<sst xmlns="http://schemas.openxmlformats.org/spreadsheetml/2006/main" count="156" uniqueCount="101">
  <si>
    <t>10th May 2018</t>
  </si>
  <si>
    <t>Financials in Thai Baht (THB)</t>
  </si>
  <si>
    <t>2013(R)</t>
  </si>
  <si>
    <t>2014(R)</t>
  </si>
  <si>
    <t>LTM
1Q17</t>
  </si>
  <si>
    <t>LTM
1Q18</t>
  </si>
  <si>
    <t>1Q13</t>
  </si>
  <si>
    <t>2Q13</t>
  </si>
  <si>
    <t>3Q13</t>
  </si>
  <si>
    <t>4Q13</t>
  </si>
  <si>
    <t>1Q14(R)</t>
  </si>
  <si>
    <t>2Q14(R)</t>
  </si>
  <si>
    <t>3Q14(R)</t>
  </si>
  <si>
    <t>4Q14(R)</t>
  </si>
  <si>
    <t>1Q15(R)</t>
  </si>
  <si>
    <t>2Q15(R)</t>
  </si>
  <si>
    <t>3Q15(R)</t>
  </si>
  <si>
    <t>4Q15</t>
  </si>
  <si>
    <t>1Q16</t>
  </si>
  <si>
    <t>2Q16</t>
  </si>
  <si>
    <t>3Q16</t>
  </si>
  <si>
    <t>4Q16</t>
  </si>
  <si>
    <t>1Q17</t>
  </si>
  <si>
    <t>2Q17</t>
  </si>
  <si>
    <t>3Q17</t>
  </si>
  <si>
    <t>4Q17</t>
  </si>
  <si>
    <t>1Q18</t>
  </si>
  <si>
    <t>Capacity &amp; Operating Rates</t>
  </si>
  <si>
    <t>Installed Capacity (On the closing date of the period)</t>
  </si>
  <si>
    <t>MMT</t>
  </si>
  <si>
    <t>Effective Capacity (Effectively available for the period)</t>
  </si>
  <si>
    <t>Production</t>
  </si>
  <si>
    <t>Utilization %</t>
  </si>
  <si>
    <t>%</t>
  </si>
  <si>
    <t xml:space="preserve">Average Exchange Rate </t>
  </si>
  <si>
    <t>THB/$</t>
  </si>
  <si>
    <t>Core Financials (Normalised extra items)</t>
  </si>
  <si>
    <t>Revenue</t>
  </si>
  <si>
    <t>M THB</t>
  </si>
  <si>
    <t>EBITDA</t>
  </si>
  <si>
    <t>Depreciation &amp; Amortization</t>
  </si>
  <si>
    <t>EBIT</t>
  </si>
  <si>
    <t>Net Finance Costs</t>
  </si>
  <si>
    <t>Share of JV Income/(Loss)</t>
  </si>
  <si>
    <t>Profit Before Taxes</t>
  </si>
  <si>
    <t>Current Tax</t>
  </si>
  <si>
    <t>Deferred Tax</t>
  </si>
  <si>
    <t>Tax adjustment on inventory gain/(loss)</t>
  </si>
  <si>
    <t>Profit After Taxes</t>
  </si>
  <si>
    <t>Non Controlling Interests (NCI)</t>
  </si>
  <si>
    <t>NP after Tax &amp; NCI</t>
  </si>
  <si>
    <t>Effective total tax rate %</t>
  </si>
  <si>
    <t>Effective current tax rate %</t>
  </si>
  <si>
    <t>Interest on PERP</t>
  </si>
  <si>
    <t>Effective number of shares</t>
  </si>
  <si>
    <t>MM</t>
  </si>
  <si>
    <t>Core EPS</t>
  </si>
  <si>
    <t>THB</t>
  </si>
  <si>
    <t>Reported Financials (Acccounting basis)</t>
  </si>
  <si>
    <t>Inventory Gain/(Loss)</t>
  </si>
  <si>
    <t>Reported EBITDA</t>
  </si>
  <si>
    <t>Extraordinary Income/(Expenses)</t>
  </si>
  <si>
    <t xml:space="preserve">  Acquisition cost &amp; pre-operative expense</t>
  </si>
  <si>
    <t xml:space="preserve">  Gain on Bargain Purchases, impairments and feasibility (Net)* </t>
  </si>
  <si>
    <t xml:space="preserve">  Other Extraordinary Income/(Expense)</t>
  </si>
  <si>
    <t>Reported NP after NCI</t>
  </si>
  <si>
    <t>Reported EPS</t>
  </si>
  <si>
    <t>Financial Position and Gearing</t>
  </si>
  <si>
    <t>Total Debt</t>
  </si>
  <si>
    <t xml:space="preserve">Cash &amp; Cash under management </t>
  </si>
  <si>
    <t>Net Debt</t>
  </si>
  <si>
    <t>Capex on Projects which are not operational yet</t>
  </si>
  <si>
    <t>Net Operating Debt</t>
  </si>
  <si>
    <t>Total Equity</t>
  </si>
  <si>
    <t xml:space="preserve">  Total equity attributable to shareholders</t>
  </si>
  <si>
    <t xml:space="preserve">  Non Controlling Interests</t>
  </si>
  <si>
    <t xml:space="preserve">  Subordinated perpetual debentures</t>
  </si>
  <si>
    <t>Net Operating D/E</t>
  </si>
  <si>
    <t>times</t>
  </si>
  <si>
    <t>Net Operating Capital Employed</t>
  </si>
  <si>
    <t>Cash Flow Statement</t>
  </si>
  <si>
    <t>Core EBITDA</t>
  </si>
  <si>
    <t>Net working capital and others</t>
  </si>
  <si>
    <t>Operating cash flow (OCF) before tax</t>
  </si>
  <si>
    <t>Net growth &amp; investment capex</t>
  </si>
  <si>
    <t>Net Working Capital on acquired/sold Asset</t>
  </si>
  <si>
    <t>Maintenance capex</t>
  </si>
  <si>
    <t>Cash Flow after Strategic Spending</t>
  </si>
  <si>
    <t>Net financial cost</t>
  </si>
  <si>
    <t>Cash income tax</t>
  </si>
  <si>
    <t>Dividends and PERP interest</t>
  </si>
  <si>
    <t>Proceeds from issue of ordinary shares due to warrants exercised</t>
  </si>
  <si>
    <t xml:space="preserve">Proceed from perpetual debentures </t>
  </si>
  <si>
    <t>(Increase)/Decrease in Net Debt on cash basis</t>
  </si>
  <si>
    <t>Exchange rate movement on Net Debt (Natural Hedge against Assets)</t>
  </si>
  <si>
    <t>(Increase)/Decrease in Net Debt as per Balance Sheet</t>
  </si>
  <si>
    <t>Check</t>
  </si>
  <si>
    <t>OCF/Net Operating Capital Employed</t>
  </si>
  <si>
    <t>Maintenance Capex as % of Depreciation</t>
  </si>
  <si>
    <t>Note:Some of the historical financials have been restated in 4Q15 due to change in revaluation policy of IVL as per new Thai accounting standard. The changes are not material. Though we have restated the yearly numbers. Hence the sum of quarters may not tally with yearly figure by minor amounts.  Excluding Feedstock price adjustment for captive sales to PET on freight saving. There is no impact on regional or consolidated EBITDA.</t>
  </si>
  <si>
    <r>
      <t xml:space="preserve">We have provided the excel information in good faith to help you to see the public information at one place. Please however always rely on our published MD&amp;A and FS to SET at each time for making any decision. Further on the forecasting tool, we have tried to make it simple and for your reference only. We have not provided any future assumptions. You may make/change the forecasts as you may deem fit. </t>
    </r>
    <r>
      <rPr>
        <b/>
        <sz val="12"/>
        <color rgb="FF1F497D"/>
        <rFont val="Calibri"/>
        <family val="2"/>
        <scheme val="minor"/>
      </rPr>
      <t>IVL cannot be held responsible for any errors that might occur when using this workbook.</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</si>
</sst>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000_);[Red]\(#,##0.0000\)"/>
    <numFmt numFmtId="165" formatCode="_(* #,##0.000_);_(* \(#,##0.000\);_(* &quot;-&quot;??_);_(@_)"/>
    <numFmt numFmtId="166" formatCode="_(* #,##0.0000_);_(* \(#,##0.0000\);_(* &quot;-&quot;??_);_(@_)"/>
    <numFmt numFmtId="167" formatCode="_(* #,##0_);_(* \(#,##0\);_(* &quot;-&quot;??_);_(@_)"/>
    <numFmt numFmtId="168" formatCode="_(* #,##0.0_);_(* \(#,##0.0\);_(* &quot;-&quot;??_);_(@_)"/>
    <numFmt numFmtId="169" formatCode="#,##0.000_);[Red]\(#,##0.000\)"/>
    <numFmt numFmtId="170" formatCode="#,##0%;[Red]\(#,##0\)%"/>
    <numFmt numFmtId="171" formatCode="_-* #,##0.00_-;\-* #,##0.00_-;_-* &quot;-&quot;??_-;_-@_-"/>
  </numFmts>
  <fonts count="18">
    <font>
      <sz val="11"/>
      <color theme="1"/>
      <name val="Calibri"/>
      <family val="2"/>
      <scheme val="minor"/>
    </font>
    <font>
      <sz val="11"/>
      <color theme="1"/>
      <name val="Calibri"/>
      <family val="2"/>
      <scheme val="minor"/>
    </font>
    <font>
      <b/>
      <sz val="12"/>
      <color theme="1"/>
      <name val="Times New Roman"/>
      <family val="1"/>
    </font>
    <font>
      <sz val="10"/>
      <color theme="1"/>
      <name val="Times New Roman"/>
      <family val="1"/>
    </font>
    <font>
      <b/>
      <sz val="22"/>
      <color theme="1"/>
      <name val="Times New Roman"/>
      <family val="1"/>
    </font>
    <font>
      <b/>
      <sz val="10"/>
      <color theme="1"/>
      <name val="Times New Roman"/>
      <family val="1"/>
    </font>
    <font>
      <b/>
      <sz val="20"/>
      <color theme="1"/>
      <name val="Times New Roman"/>
      <family val="1"/>
    </font>
    <font>
      <sz val="11"/>
      <color theme="1"/>
      <name val="Times New Roman"/>
      <family val="1"/>
    </font>
    <font>
      <sz val="10"/>
      <color indexed="8"/>
      <name val="Times New Roman"/>
      <family val="1"/>
    </font>
    <font>
      <sz val="10"/>
      <color rgb="FF000000"/>
      <name val="Times New Roman"/>
      <family val="1"/>
    </font>
    <font>
      <b/>
      <sz val="12"/>
      <color rgb="FF1F497D"/>
      <name val="Calibri"/>
      <family val="2"/>
      <scheme val="minor"/>
    </font>
    <font>
      <b/>
      <sz val="10"/>
      <color theme="1" tint="0.34998626667073579"/>
      <name val="Times New Roman"/>
      <family val="1"/>
    </font>
    <font>
      <sz val="10"/>
      <name val="Arial"/>
      <family val="2"/>
    </font>
    <font>
      <sz val="10"/>
      <name val="Arial"/>
      <family val="2"/>
      <charset val="222"/>
    </font>
    <font>
      <b/>
      <sz val="8"/>
      <color indexed="8"/>
      <name val="Arial"/>
      <family val="2"/>
      <charset val="222"/>
    </font>
    <font>
      <b/>
      <sz val="8"/>
      <color indexed="8"/>
      <name val="Arial"/>
      <family val="2"/>
    </font>
    <font>
      <sz val="8"/>
      <color indexed="8"/>
      <name val="Arial"/>
      <family val="2"/>
      <charset val="222"/>
    </font>
    <font>
      <sz val="8"/>
      <color indexed="12"/>
      <name val="Arial"/>
      <family val="2"/>
      <charset val="222"/>
    </font>
  </fonts>
  <fills count="13">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lightTrellis">
        <bgColor theme="0"/>
      </patternFill>
    </fill>
    <fill>
      <patternFill patternType="lightTrellis">
        <bgColor theme="6" tint="0.79998168889431442"/>
      </patternFill>
    </fill>
    <fill>
      <patternFill patternType="lightTrellis">
        <bgColor theme="4" tint="0.79998168889431442"/>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rgb="FF000000"/>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0" fontId="13" fillId="0" borderId="0"/>
    <xf numFmtId="9" fontId="12"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Protection="0">
      <alignment horizontal="center"/>
    </xf>
    <xf numFmtId="0" fontId="14" fillId="0" borderId="0" applyNumberFormat="0" applyFill="0" applyBorder="0" applyProtection="0">
      <alignment horizontal="center"/>
    </xf>
    <xf numFmtId="4" fontId="16" fillId="0" borderId="0" applyFill="0" applyBorder="0" applyAlignment="0" applyProtection="0"/>
    <xf numFmtId="4" fontId="17" fillId="0" borderId="0" applyFill="0" applyBorder="0" applyAlignment="0" applyProtection="0"/>
  </cellStyleXfs>
  <cellXfs count="136">
    <xf numFmtId="0" fontId="0" fillId="0" borderId="0" xfId="0"/>
    <xf numFmtId="0" fontId="2" fillId="2" borderId="0" xfId="0" applyFont="1" applyFill="1" applyAlignment="1">
      <alignment horizontal="right"/>
    </xf>
    <xf numFmtId="0" fontId="3" fillId="2" borderId="0" xfId="0" applyFont="1" applyFill="1"/>
    <xf numFmtId="0" fontId="3" fillId="0" borderId="0" xfId="0" applyFont="1"/>
    <xf numFmtId="0" fontId="4" fillId="2" borderId="0" xfId="0" applyFont="1" applyFill="1"/>
    <xf numFmtId="0" fontId="5" fillId="2" borderId="0" xfId="0" applyFont="1" applyFill="1"/>
    <xf numFmtId="0" fontId="5" fillId="3" borderId="1" xfId="0" applyFont="1" applyFill="1" applyBorder="1" applyAlignment="1">
      <alignment horizontal="center" wrapText="1"/>
    </xf>
    <xf numFmtId="0" fontId="5" fillId="3" borderId="1" xfId="0" quotePrefix="1" applyFont="1" applyFill="1" applyBorder="1" applyAlignment="1">
      <alignment horizontal="center" wrapText="1"/>
    </xf>
    <xf numFmtId="0" fontId="5" fillId="3" borderId="2" xfId="0" applyFont="1" applyFill="1" applyBorder="1" applyAlignment="1">
      <alignment horizontal="center" wrapText="1"/>
    </xf>
    <xf numFmtId="0" fontId="5" fillId="4" borderId="1" xfId="0" applyFont="1" applyFill="1" applyBorder="1" applyAlignment="1">
      <alignment horizontal="center" wrapText="1"/>
    </xf>
    <xf numFmtId="0" fontId="5" fillId="4" borderId="1" xfId="0" quotePrefix="1" applyFont="1" applyFill="1" applyBorder="1" applyAlignment="1">
      <alignment horizontal="center" wrapText="1"/>
    </xf>
    <xf numFmtId="0" fontId="6" fillId="5" borderId="0" xfId="0" applyFont="1" applyFill="1" applyBorder="1"/>
    <xf numFmtId="38" fontId="7" fillId="5" borderId="0" xfId="0" applyNumberFormat="1" applyFont="1" applyFill="1" applyBorder="1"/>
    <xf numFmtId="43" fontId="7" fillId="5" borderId="0" xfId="1" applyFont="1" applyFill="1" applyBorder="1"/>
    <xf numFmtId="43" fontId="7" fillId="5" borderId="3" xfId="1" applyFont="1" applyFill="1" applyBorder="1"/>
    <xf numFmtId="38" fontId="7" fillId="3" borderId="4" xfId="0" applyNumberFormat="1" applyFont="1" applyFill="1" applyBorder="1"/>
    <xf numFmtId="164" fontId="7" fillId="5" borderId="0" xfId="0" applyNumberFormat="1" applyFont="1" applyFill="1" applyBorder="1"/>
    <xf numFmtId="38" fontId="7" fillId="4" borderId="4" xfId="0" applyNumberFormat="1" applyFont="1" applyFill="1" applyBorder="1"/>
    <xf numFmtId="0" fontId="7" fillId="2" borderId="0" xfId="0" applyFont="1" applyFill="1" applyBorder="1"/>
    <xf numFmtId="43" fontId="3" fillId="2" borderId="0" xfId="1" applyNumberFormat="1" applyFont="1" applyFill="1"/>
    <xf numFmtId="43" fontId="3" fillId="6" borderId="3" xfId="1" applyFont="1" applyFill="1" applyBorder="1" applyAlignment="1">
      <alignment horizontal="center"/>
    </xf>
    <xf numFmtId="43" fontId="3" fillId="7" borderId="4" xfId="1" applyFont="1" applyFill="1" applyBorder="1" applyAlignment="1">
      <alignment horizontal="center"/>
    </xf>
    <xf numFmtId="43" fontId="3" fillId="6" borderId="0" xfId="1" applyFont="1" applyFill="1"/>
    <xf numFmtId="43" fontId="3" fillId="6" borderId="0" xfId="1" applyFont="1" applyFill="1" applyAlignment="1">
      <alignment horizontal="center"/>
    </xf>
    <xf numFmtId="43" fontId="3" fillId="8" borderId="4" xfId="1" applyFont="1" applyFill="1" applyBorder="1" applyAlignment="1">
      <alignment horizontal="center"/>
    </xf>
    <xf numFmtId="43" fontId="3" fillId="2" borderId="0" xfId="1" applyFont="1" applyFill="1"/>
    <xf numFmtId="43" fontId="3" fillId="2" borderId="3" xfId="1" applyNumberFormat="1" applyFont="1" applyFill="1" applyBorder="1"/>
    <xf numFmtId="43" fontId="3" fillId="3" borderId="4" xfId="1" applyNumberFormat="1" applyFont="1" applyFill="1" applyBorder="1" applyAlignment="1">
      <alignment horizontal="center"/>
    </xf>
    <xf numFmtId="43" fontId="3" fillId="2" borderId="0" xfId="1" applyNumberFormat="1" applyFont="1" applyFill="1" applyAlignment="1">
      <alignment horizontal="center"/>
    </xf>
    <xf numFmtId="43" fontId="3" fillId="2" borderId="0" xfId="1" applyFont="1" applyFill="1" applyAlignment="1">
      <alignment horizontal="center"/>
    </xf>
    <xf numFmtId="165" fontId="3" fillId="2" borderId="0" xfId="1" applyNumberFormat="1" applyFont="1" applyFill="1" applyAlignment="1">
      <alignment horizontal="center"/>
    </xf>
    <xf numFmtId="43" fontId="3" fillId="4" borderId="4" xfId="1" applyNumberFormat="1" applyFont="1" applyFill="1" applyBorder="1" applyAlignment="1">
      <alignment horizontal="center"/>
    </xf>
    <xf numFmtId="43" fontId="3" fillId="2" borderId="5" xfId="1" applyFont="1" applyFill="1" applyBorder="1"/>
    <xf numFmtId="43" fontId="3" fillId="2" borderId="6" xfId="1" applyFont="1" applyFill="1" applyBorder="1"/>
    <xf numFmtId="43" fontId="3" fillId="3" borderId="7" xfId="1" applyNumberFormat="1" applyFont="1" applyFill="1" applyBorder="1" applyAlignment="1">
      <alignment horizontal="center"/>
    </xf>
    <xf numFmtId="43" fontId="3" fillId="2" borderId="5" xfId="1" applyFont="1" applyFill="1" applyBorder="1" applyAlignment="1">
      <alignment horizontal="center"/>
    </xf>
    <xf numFmtId="165" fontId="3" fillId="2" borderId="5" xfId="1" applyNumberFormat="1" applyFont="1" applyFill="1" applyBorder="1" applyAlignment="1">
      <alignment horizontal="center"/>
    </xf>
    <xf numFmtId="43" fontId="3" fillId="4" borderId="7" xfId="1" applyNumberFormat="1" applyFont="1" applyFill="1" applyBorder="1" applyAlignment="1">
      <alignment horizontal="center"/>
    </xf>
    <xf numFmtId="9" fontId="5" fillId="2" borderId="0" xfId="2" applyFont="1" applyFill="1"/>
    <xf numFmtId="9" fontId="5" fillId="2" borderId="0" xfId="2" applyFont="1" applyFill="1" applyAlignment="1">
      <alignment horizontal="center"/>
    </xf>
    <xf numFmtId="9" fontId="5" fillId="2" borderId="0" xfId="2" applyFont="1" applyFill="1" applyAlignment="1">
      <alignment horizontal="right"/>
    </xf>
    <xf numFmtId="9" fontId="5" fillId="2" borderId="0" xfId="2" applyNumberFormat="1" applyFont="1" applyFill="1" applyAlignment="1">
      <alignment horizontal="right"/>
    </xf>
    <xf numFmtId="9" fontId="5" fillId="2" borderId="3" xfId="2" applyNumberFormat="1" applyFont="1" applyFill="1" applyBorder="1" applyAlignment="1">
      <alignment horizontal="right"/>
    </xf>
    <xf numFmtId="9" fontId="5" fillId="3" borderId="4" xfId="2" applyFont="1" applyFill="1" applyBorder="1" applyAlignment="1">
      <alignment horizontal="right"/>
    </xf>
    <xf numFmtId="9" fontId="5" fillId="4" borderId="4" xfId="2" applyFont="1" applyFill="1" applyBorder="1" applyAlignment="1">
      <alignment horizontal="right"/>
    </xf>
    <xf numFmtId="0" fontId="3" fillId="2" borderId="0" xfId="0" applyFont="1" applyFill="1" applyAlignment="1">
      <alignment horizontal="center"/>
    </xf>
    <xf numFmtId="43" fontId="3" fillId="2" borderId="3" xfId="1" applyFont="1" applyFill="1" applyBorder="1"/>
    <xf numFmtId="2" fontId="3" fillId="3" borderId="4" xfId="1" applyNumberFormat="1" applyFont="1" applyFill="1" applyBorder="1"/>
    <xf numFmtId="2" fontId="3" fillId="2" borderId="0" xfId="1" applyNumberFormat="1" applyFont="1" applyFill="1"/>
    <xf numFmtId="2" fontId="3" fillId="4" borderId="4" xfId="1" applyNumberFormat="1" applyFont="1" applyFill="1" applyBorder="1"/>
    <xf numFmtId="166" fontId="7" fillId="3" borderId="4" xfId="0" applyNumberFormat="1" applyFont="1" applyFill="1" applyBorder="1"/>
    <xf numFmtId="166" fontId="7" fillId="4" borderId="4" xfId="0" applyNumberFormat="1" applyFont="1" applyFill="1" applyBorder="1"/>
    <xf numFmtId="9" fontId="3" fillId="2" borderId="0" xfId="2" applyFont="1" applyFill="1"/>
    <xf numFmtId="9" fontId="3" fillId="2" borderId="3" xfId="2" applyFont="1" applyFill="1" applyBorder="1"/>
    <xf numFmtId="166" fontId="3" fillId="3" borderId="4" xfId="1" applyNumberFormat="1" applyFont="1" applyFill="1" applyBorder="1" applyAlignment="1">
      <alignment horizontal="right"/>
    </xf>
    <xf numFmtId="9" fontId="3" fillId="2" borderId="0" xfId="2" applyFont="1" applyFill="1" applyAlignment="1">
      <alignment horizontal="right"/>
    </xf>
    <xf numFmtId="167" fontId="3" fillId="2" borderId="0" xfId="1" applyNumberFormat="1" applyFont="1" applyFill="1" applyAlignment="1">
      <alignment horizontal="right"/>
    </xf>
    <xf numFmtId="168" fontId="3" fillId="2" borderId="0" xfId="1" applyNumberFormat="1" applyFont="1" applyFill="1" applyAlignment="1">
      <alignment horizontal="right"/>
    </xf>
    <xf numFmtId="166" fontId="3" fillId="4" borderId="4" xfId="1" applyNumberFormat="1" applyFont="1" applyFill="1" applyBorder="1" applyAlignment="1">
      <alignment horizontal="right"/>
    </xf>
    <xf numFmtId="38" fontId="5" fillId="5" borderId="0" xfId="0" applyNumberFormat="1" applyFont="1" applyFill="1"/>
    <xf numFmtId="38" fontId="5" fillId="5" borderId="0" xfId="0" applyNumberFormat="1" applyFont="1" applyFill="1" applyAlignment="1">
      <alignment horizontal="center"/>
    </xf>
    <xf numFmtId="38" fontId="5" fillId="5" borderId="0" xfId="1" applyNumberFormat="1" applyFont="1" applyFill="1" applyAlignment="1">
      <alignment horizontal="right"/>
    </xf>
    <xf numFmtId="38" fontId="5" fillId="5" borderId="3" xfId="1" applyNumberFormat="1" applyFont="1" applyFill="1" applyBorder="1" applyAlignment="1">
      <alignment horizontal="right"/>
    </xf>
    <xf numFmtId="38" fontId="5" fillId="3" borderId="4" xfId="1" applyNumberFormat="1" applyFont="1" applyFill="1" applyBorder="1" applyAlignment="1">
      <alignment horizontal="right"/>
    </xf>
    <xf numFmtId="38" fontId="5" fillId="4" borderId="4" xfId="1" applyNumberFormat="1" applyFont="1" applyFill="1" applyBorder="1" applyAlignment="1">
      <alignment horizontal="right"/>
    </xf>
    <xf numFmtId="38" fontId="5" fillId="2" borderId="0" xfId="0" applyNumberFormat="1" applyFont="1" applyFill="1"/>
    <xf numFmtId="38" fontId="3" fillId="2" borderId="0" xfId="0" applyNumberFormat="1" applyFont="1" applyFill="1"/>
    <xf numFmtId="38" fontId="3" fillId="2" borderId="0" xfId="0" applyNumberFormat="1" applyFont="1" applyFill="1" applyAlignment="1">
      <alignment horizontal="center"/>
    </xf>
    <xf numFmtId="38" fontId="3" fillId="2" borderId="5" xfId="1" applyNumberFormat="1" applyFont="1" applyFill="1" applyBorder="1" applyAlignment="1">
      <alignment horizontal="right"/>
    </xf>
    <xf numFmtId="38" fontId="3" fillId="2" borderId="6" xfId="1" applyNumberFormat="1" applyFont="1" applyFill="1" applyBorder="1" applyAlignment="1">
      <alignment horizontal="right"/>
    </xf>
    <xf numFmtId="38" fontId="3" fillId="3" borderId="7" xfId="1" applyNumberFormat="1" applyFont="1" applyFill="1" applyBorder="1" applyAlignment="1">
      <alignment horizontal="right"/>
    </xf>
    <xf numFmtId="38" fontId="3" fillId="4" borderId="7" xfId="1" applyNumberFormat="1" applyFont="1" applyFill="1" applyBorder="1" applyAlignment="1">
      <alignment horizontal="right"/>
    </xf>
    <xf numFmtId="38" fontId="3" fillId="2" borderId="0" xfId="1" applyNumberFormat="1" applyFont="1" applyFill="1" applyAlignment="1">
      <alignment horizontal="right"/>
    </xf>
    <xf numFmtId="38" fontId="3" fillId="2" borderId="3" xfId="1" applyNumberFormat="1" applyFont="1" applyFill="1" applyBorder="1" applyAlignment="1">
      <alignment horizontal="right"/>
    </xf>
    <xf numFmtId="38" fontId="3" fillId="3" borderId="4" xfId="1" applyNumberFormat="1" applyFont="1" applyFill="1" applyBorder="1" applyAlignment="1">
      <alignment horizontal="right"/>
    </xf>
    <xf numFmtId="38" fontId="3" fillId="2" borderId="0" xfId="1" applyNumberFormat="1" applyFont="1" applyFill="1" applyBorder="1" applyAlignment="1">
      <alignment horizontal="right"/>
    </xf>
    <xf numFmtId="38" fontId="3" fillId="4" borderId="4" xfId="1" applyNumberFormat="1" applyFont="1" applyFill="1" applyBorder="1" applyAlignment="1">
      <alignment horizontal="right"/>
    </xf>
    <xf numFmtId="169" fontId="3" fillId="2" borderId="0" xfId="1" applyNumberFormat="1" applyFont="1" applyFill="1" applyAlignment="1">
      <alignment horizontal="right"/>
    </xf>
    <xf numFmtId="170" fontId="5" fillId="2" borderId="0" xfId="0" applyNumberFormat="1" applyFont="1" applyFill="1"/>
    <xf numFmtId="170" fontId="5" fillId="2" borderId="0" xfId="0" applyNumberFormat="1" applyFont="1" applyFill="1" applyAlignment="1">
      <alignment horizontal="center"/>
    </xf>
    <xf numFmtId="170" fontId="5" fillId="2" borderId="0" xfId="2" applyNumberFormat="1" applyFont="1" applyFill="1" applyAlignment="1">
      <alignment horizontal="right"/>
    </xf>
    <xf numFmtId="170" fontId="5" fillId="2" borderId="3" xfId="2" applyNumberFormat="1" applyFont="1" applyFill="1" applyBorder="1" applyAlignment="1">
      <alignment horizontal="right"/>
    </xf>
    <xf numFmtId="170" fontId="5" fillId="3" borderId="4" xfId="2" applyNumberFormat="1" applyFont="1" applyFill="1" applyBorder="1" applyAlignment="1">
      <alignment horizontal="right"/>
    </xf>
    <xf numFmtId="170" fontId="5" fillId="4" borderId="4" xfId="2" applyNumberFormat="1" applyFont="1" applyFill="1" applyBorder="1" applyAlignment="1">
      <alignment horizontal="right"/>
    </xf>
    <xf numFmtId="170" fontId="5" fillId="9" borderId="0" xfId="2" applyNumberFormat="1" applyFont="1" applyFill="1" applyAlignment="1">
      <alignment horizontal="right"/>
    </xf>
    <xf numFmtId="0" fontId="8" fillId="2" borderId="0" xfId="0" applyFont="1" applyFill="1"/>
    <xf numFmtId="167" fontId="8" fillId="2" borderId="0" xfId="1" applyNumberFormat="1" applyFont="1" applyFill="1"/>
    <xf numFmtId="167" fontId="8" fillId="2" borderId="3" xfId="1" applyNumberFormat="1" applyFont="1" applyFill="1" applyBorder="1"/>
    <xf numFmtId="167" fontId="3" fillId="3" borderId="4" xfId="1" applyNumberFormat="1" applyFont="1" applyFill="1" applyBorder="1" applyAlignment="1">
      <alignment horizontal="right"/>
    </xf>
    <xf numFmtId="167" fontId="8" fillId="2" borderId="0" xfId="2" applyNumberFormat="1" applyFont="1" applyFill="1" applyAlignment="1">
      <alignment horizontal="right"/>
    </xf>
    <xf numFmtId="167" fontId="3" fillId="4" borderId="4" xfId="1" applyNumberFormat="1" applyFont="1" applyFill="1" applyBorder="1" applyAlignment="1">
      <alignment horizontal="right"/>
    </xf>
    <xf numFmtId="40" fontId="3" fillId="2" borderId="0" xfId="1" applyNumberFormat="1" applyFont="1" applyFill="1" applyAlignment="1">
      <alignment horizontal="right"/>
    </xf>
    <xf numFmtId="40" fontId="3" fillId="2" borderId="3" xfId="1" applyNumberFormat="1" applyFont="1" applyFill="1" applyBorder="1" applyAlignment="1">
      <alignment horizontal="right"/>
    </xf>
    <xf numFmtId="40" fontId="3" fillId="3" borderId="4" xfId="1" applyNumberFormat="1" applyFont="1" applyFill="1" applyBorder="1" applyAlignment="1">
      <alignment horizontal="right"/>
    </xf>
    <xf numFmtId="40" fontId="3" fillId="4" borderId="4" xfId="1" applyNumberFormat="1" applyFont="1" applyFill="1" applyBorder="1" applyAlignment="1">
      <alignment horizontal="right"/>
    </xf>
    <xf numFmtId="167" fontId="7" fillId="3" borderId="4" xfId="1" applyNumberFormat="1" applyFont="1" applyFill="1" applyBorder="1"/>
    <xf numFmtId="167" fontId="7" fillId="4" borderId="4" xfId="1" applyNumberFormat="1" applyFont="1" applyFill="1" applyBorder="1"/>
    <xf numFmtId="167" fontId="3" fillId="3" borderId="4" xfId="2" applyNumberFormat="1" applyFont="1" applyFill="1" applyBorder="1"/>
    <xf numFmtId="167" fontId="3" fillId="4" borderId="4" xfId="2" applyNumberFormat="1" applyFont="1" applyFill="1" applyBorder="1"/>
    <xf numFmtId="0" fontId="5" fillId="10" borderId="0" xfId="0" applyFont="1" applyFill="1"/>
    <xf numFmtId="0" fontId="5" fillId="10" borderId="0" xfId="0" applyFont="1" applyFill="1" applyAlignment="1">
      <alignment horizontal="center"/>
    </xf>
    <xf numFmtId="38" fontId="5" fillId="10" borderId="0" xfId="1" applyNumberFormat="1" applyFont="1" applyFill="1" applyAlignment="1">
      <alignment horizontal="right"/>
    </xf>
    <xf numFmtId="38" fontId="5" fillId="10" borderId="3" xfId="1" applyNumberFormat="1" applyFont="1" applyFill="1" applyBorder="1" applyAlignment="1">
      <alignment horizontal="right"/>
    </xf>
    <xf numFmtId="40" fontId="3" fillId="2" borderId="0" xfId="1" applyNumberFormat="1" applyFont="1" applyFill="1" applyBorder="1" applyAlignment="1">
      <alignment horizontal="right"/>
    </xf>
    <xf numFmtId="0" fontId="5" fillId="2" borderId="0" xfId="0" applyFont="1" applyFill="1" applyAlignment="1">
      <alignment horizontal="center"/>
    </xf>
    <xf numFmtId="38" fontId="5" fillId="2" borderId="0" xfId="1" applyNumberFormat="1" applyFont="1" applyFill="1" applyAlignment="1">
      <alignment horizontal="right"/>
    </xf>
    <xf numFmtId="38" fontId="5" fillId="2" borderId="3" xfId="1" applyNumberFormat="1" applyFont="1" applyFill="1" applyBorder="1" applyAlignment="1">
      <alignment horizontal="right"/>
    </xf>
    <xf numFmtId="43" fontId="3" fillId="2" borderId="0" xfId="1" applyFont="1" applyFill="1" applyAlignment="1">
      <alignment horizontal="right"/>
    </xf>
    <xf numFmtId="171" fontId="3" fillId="2" borderId="0" xfId="0" applyNumberFormat="1" applyFont="1" applyFill="1"/>
    <xf numFmtId="171" fontId="3" fillId="2" borderId="3" xfId="0" applyNumberFormat="1" applyFont="1" applyFill="1" applyBorder="1"/>
    <xf numFmtId="171" fontId="3" fillId="3" borderId="4" xfId="0" applyNumberFormat="1" applyFont="1" applyFill="1" applyBorder="1"/>
    <xf numFmtId="171" fontId="3" fillId="4" borderId="4" xfId="0" applyNumberFormat="1" applyFont="1" applyFill="1" applyBorder="1"/>
    <xf numFmtId="167" fontId="3" fillId="2" borderId="0" xfId="1" applyNumberFormat="1" applyFont="1" applyFill="1"/>
    <xf numFmtId="167" fontId="3" fillId="2" borderId="3" xfId="1" applyNumberFormat="1" applyFont="1" applyFill="1" applyBorder="1"/>
    <xf numFmtId="167" fontId="3" fillId="3" borderId="4" xfId="1" applyNumberFormat="1" applyFont="1" applyFill="1" applyBorder="1"/>
    <xf numFmtId="167" fontId="3" fillId="4" borderId="4" xfId="1" applyNumberFormat="1" applyFont="1" applyFill="1" applyBorder="1"/>
    <xf numFmtId="43" fontId="3" fillId="6" borderId="3" xfId="1" applyFont="1" applyFill="1" applyBorder="1"/>
    <xf numFmtId="43" fontId="3" fillId="7" borderId="4" xfId="1" applyFont="1" applyFill="1" applyBorder="1"/>
    <xf numFmtId="43" fontId="3" fillId="8" borderId="4" xfId="1" applyFont="1" applyFill="1" applyBorder="1"/>
    <xf numFmtId="0" fontId="3" fillId="2" borderId="3" xfId="0" applyFont="1" applyFill="1" applyBorder="1"/>
    <xf numFmtId="0" fontId="3" fillId="3" borderId="4" xfId="0" applyFont="1" applyFill="1" applyBorder="1"/>
    <xf numFmtId="0" fontId="3" fillId="4" borderId="4" xfId="0" applyFont="1" applyFill="1" applyBorder="1"/>
    <xf numFmtId="167" fontId="9" fillId="11" borderId="0" xfId="1" applyNumberFormat="1" applyFont="1" applyFill="1" applyBorder="1" applyAlignment="1">
      <alignment horizontal="right"/>
    </xf>
    <xf numFmtId="167" fontId="3" fillId="2" borderId="3" xfId="1" applyNumberFormat="1" applyFont="1" applyFill="1" applyBorder="1" applyAlignment="1">
      <alignment horizontal="right"/>
    </xf>
    <xf numFmtId="43" fontId="3" fillId="2" borderId="3" xfId="1" applyFont="1" applyFill="1" applyBorder="1" applyAlignment="1">
      <alignment horizontal="right"/>
    </xf>
    <xf numFmtId="43" fontId="3" fillId="3" borderId="4" xfId="1" applyFont="1" applyFill="1" applyBorder="1"/>
    <xf numFmtId="43" fontId="3" fillId="4" borderId="4" xfId="1" applyFont="1" applyFill="1" applyBorder="1"/>
    <xf numFmtId="9" fontId="5" fillId="2" borderId="3" xfId="2" applyFont="1" applyFill="1" applyBorder="1"/>
    <xf numFmtId="9" fontId="5" fillId="3" borderId="4" xfId="2" applyFont="1" applyFill="1" applyBorder="1"/>
    <xf numFmtId="9" fontId="3" fillId="3" borderId="4" xfId="2" applyFont="1" applyFill="1" applyBorder="1"/>
    <xf numFmtId="9" fontId="3" fillId="4" borderId="4" xfId="2" applyFont="1" applyFill="1" applyBorder="1"/>
    <xf numFmtId="0" fontId="3" fillId="2" borderId="0" xfId="0" applyFont="1" applyFill="1" applyAlignment="1">
      <alignment horizontal="left"/>
    </xf>
    <xf numFmtId="0" fontId="11" fillId="2" borderId="0" xfId="0" applyFont="1" applyFill="1"/>
    <xf numFmtId="0" fontId="3" fillId="3" borderId="0" xfId="0" applyFont="1" applyFill="1"/>
    <xf numFmtId="0" fontId="3" fillId="12" borderId="0" xfId="0" applyFont="1" applyFill="1"/>
    <xf numFmtId="0" fontId="0" fillId="2" borderId="0" xfId="0" applyFill="1" applyAlignment="1">
      <alignment horizontal="left" vertical="center" wrapText="1"/>
    </xf>
  </cellXfs>
  <cellStyles count="15">
    <cellStyle name="Comma" xfId="1" builtinId="3"/>
    <cellStyle name="Comma 2" xfId="3"/>
    <cellStyle name="Comma 2 12" xfId="4"/>
    <cellStyle name="Comma 3" xfId="5"/>
    <cellStyle name="Normal" xfId="0" builtinId="0"/>
    <cellStyle name="Normal 10_Alpha_Financial Reporting Package IRP - Jun'10_v3" xfId="6"/>
    <cellStyle name="Normal 3" xfId="7"/>
    <cellStyle name="Percent" xfId="2" builtinId="5"/>
    <cellStyle name="Percent 11" xfId="8"/>
    <cellStyle name="Percent 2" xfId="9"/>
    <cellStyle name="Style 22" xfId="10"/>
    <cellStyle name="Style 24" xfId="11"/>
    <cellStyle name="Style 24 2" xfId="12"/>
    <cellStyle name="Style 26 2" xfId="13"/>
    <cellStyle name="Style 27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1</xdr:rowOff>
    </xdr:from>
    <xdr:to>
      <xdr:col>0</xdr:col>
      <xdr:colOff>876300</xdr:colOff>
      <xdr:row>1</xdr:row>
      <xdr:rowOff>23213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28576" y="1"/>
          <a:ext cx="847724" cy="2137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onlapan.c\Desktop\Factsheet%20upload%201Q18Eng.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6/IVL_Projections%202Q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6/IVL_Projections%203Q1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7/IVL_Projections%202Q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7/IVL_Projections%203Q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5/IVL_Projections%202Q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7/IVL_Projections%201Q1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6/EPS%20calculation%20-%20revised%20summary.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5/CF%204Q1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6/CF%204Q1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7/CF%204Q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8/Factsheet/IVL%20Historical%20Information_Yr'10%20to%201Q18_External.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8/CF%201Q18.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5/CF%201Q1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5/CF%202Q1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6/CF%201Q1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6/CF%202Q1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6/CF%203Q1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Vikash/Current%20folder/IVL%20forecast%20&amp;%20estimates/MD&amp;A%201Q16/CF%201Q1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7/CF%201Q1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7/CF%202Q17.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7/CF%203Q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5/IVL_Projections%201Q15.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5/Factsheet/CF%203Q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6/IVL_Projections%204Q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7/IVL_Projections%204Q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8/IVL_Projections%201Q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5/Factsheet/IVL_Projections%203Q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5/IVL_Projections%204Q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Vikash/Current%20folder/IVL%20forecast%20&amp;%20estimates/MD&amp;A%201Q16/IVL_Projections%201Q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Financials in THB"/>
      <sheetName val="Historical Financials in USD"/>
      <sheetName val="Segment Analysis in THB"/>
      <sheetName val="Segments Analysis in USD"/>
      <sheetName val="History of IVL M&amp;A since 2008"/>
      <sheetName val="Installed Capacities"/>
      <sheetName val="IVL Debts &amp; Glossary of terms"/>
    </sheetNames>
    <sheetDataSet>
      <sheetData sheetId="0"/>
      <sheetData sheetId="1">
        <row r="4">
          <cell r="H4">
            <v>8.7759999999999998</v>
          </cell>
        </row>
        <row r="5">
          <cell r="AB5">
            <v>2.6458982384229173</v>
          </cell>
        </row>
        <row r="6">
          <cell r="AB6">
            <v>2.2652216700056305</v>
          </cell>
        </row>
        <row r="8">
          <cell r="C8">
            <v>31.701000000000001</v>
          </cell>
          <cell r="D8">
            <v>30.496700000000001</v>
          </cell>
          <cell r="E8">
            <v>31.087</v>
          </cell>
        </row>
        <row r="9">
          <cell r="A9" t="str">
            <v xml:space="preserve">Closing Exchange Rate </v>
          </cell>
          <cell r="C9">
            <v>30.151299999999999</v>
          </cell>
          <cell r="D9">
            <v>31.691199999999998</v>
          </cell>
          <cell r="E9">
            <v>30.631599999999999</v>
          </cell>
          <cell r="G9">
            <v>32.963000000000001</v>
          </cell>
          <cell r="H9">
            <v>36.0886</v>
          </cell>
          <cell r="M9">
            <v>29.308499999999999</v>
          </cell>
          <cell r="N9">
            <v>31.127099999999999</v>
          </cell>
          <cell r="O9">
            <v>31.390699999999999</v>
          </cell>
          <cell r="P9">
            <v>32.813600000000001</v>
          </cell>
          <cell r="Q9">
            <v>32.443199999999997</v>
          </cell>
          <cell r="R9">
            <v>32.454999999999998</v>
          </cell>
          <cell r="S9">
            <v>32.3733</v>
          </cell>
          <cell r="U9">
            <v>32.555100000000003</v>
          </cell>
          <cell r="V9">
            <v>33.776800000000001</v>
          </cell>
          <cell r="X9">
            <v>36.0886</v>
          </cell>
          <cell r="Y9">
            <v>35.239199999999997</v>
          </cell>
        </row>
        <row r="51">
          <cell r="C51">
            <v>11.04429991409989</v>
          </cell>
          <cell r="D51">
            <v>4.3860756298278387</v>
          </cell>
          <cell r="E51">
            <v>10.685011556693087</v>
          </cell>
          <cell r="G51">
            <v>62.379273731153113</v>
          </cell>
          <cell r="H51">
            <v>86.667839705613403</v>
          </cell>
          <cell r="M51">
            <v>11.297063991674772</v>
          </cell>
          <cell r="N51">
            <v>12.714869036948512</v>
          </cell>
          <cell r="O51">
            <v>16.154912123654459</v>
          </cell>
          <cell r="P51">
            <v>32.37206524124143</v>
          </cell>
          <cell r="Q51">
            <v>34.649600356717237</v>
          </cell>
          <cell r="R51">
            <v>68.324462823166328</v>
          </cell>
          <cell r="S51">
            <v>63.107986223455498</v>
          </cell>
          <cell r="U51">
            <v>54.558415958549347</v>
          </cell>
          <cell r="V51">
            <v>60.791638047417166</v>
          </cell>
          <cell r="X51">
            <v>86.667839705613403</v>
          </cell>
          <cell r="Y51">
            <v>89.383442302889975</v>
          </cell>
        </row>
        <row r="60">
          <cell r="C60">
            <v>342.33365930599371</v>
          </cell>
        </row>
        <row r="61">
          <cell r="C61">
            <v>-177.70581123013307</v>
          </cell>
          <cell r="D61">
            <v>-652.35333524752991</v>
          </cell>
        </row>
        <row r="62">
          <cell r="C62">
            <v>-11.694188769866953</v>
          </cell>
          <cell r="D62">
            <v>-333.55511703251813</v>
          </cell>
        </row>
        <row r="63">
          <cell r="C63">
            <v>-28.88002473201206</v>
          </cell>
          <cell r="E63">
            <v>-41.341704913380092</v>
          </cell>
        </row>
        <row r="65">
          <cell r="C65">
            <v>-39.985029625740644</v>
          </cell>
        </row>
        <row r="66">
          <cell r="C66">
            <v>-14.791577287066245</v>
          </cell>
        </row>
        <row r="67">
          <cell r="C67">
            <v>-44.666286657166431</v>
          </cell>
        </row>
      </sheetData>
      <sheetData sheetId="2">
        <row r="28">
          <cell r="H28">
            <v>27365.670995187207</v>
          </cell>
          <cell r="AA28">
            <v>7251.0985888187515</v>
          </cell>
          <cell r="AB28">
            <v>7681.4401338957323</v>
          </cell>
          <cell r="AC28">
            <v>8188.6900193756355</v>
          </cell>
          <cell r="AD28">
            <v>9771.9235752647492</v>
          </cell>
          <cell r="AF28">
            <v>10289.799532620993</v>
          </cell>
        </row>
        <row r="35">
          <cell r="B35">
            <v>96858</v>
          </cell>
          <cell r="C35">
            <v>186096</v>
          </cell>
          <cell r="D35">
            <v>210728.984</v>
          </cell>
          <cell r="E35">
            <v>229120.448</v>
          </cell>
          <cell r="F35">
            <v>243907.21766484791</v>
          </cell>
          <cell r="G35">
            <v>234697.94899999999</v>
          </cell>
          <cell r="H35">
            <v>254619.53899999999</v>
          </cell>
          <cell r="L35">
            <v>55494</v>
          </cell>
          <cell r="M35">
            <v>56807.148000000001</v>
          </cell>
          <cell r="N35">
            <v>59181.069999999992</v>
          </cell>
          <cell r="O35">
            <v>57638.23000000001</v>
          </cell>
          <cell r="P35">
            <v>61646.606</v>
          </cell>
          <cell r="Q35">
            <v>64029.859889935993</v>
          </cell>
          <cell r="R35">
            <v>63606.215110064019</v>
          </cell>
          <cell r="S35">
            <v>54624.536664847896</v>
          </cell>
          <cell r="T35">
            <v>53660.3648109368</v>
          </cell>
          <cell r="U35">
            <v>61225.241189063199</v>
          </cell>
          <cell r="V35">
            <v>62333.540304536982</v>
          </cell>
          <cell r="W35">
            <v>57478.802695463004</v>
          </cell>
          <cell r="X35">
            <v>57164.231830578989</v>
          </cell>
          <cell r="Y35">
            <v>66730.030342933402</v>
          </cell>
          <cell r="Z35">
            <v>65435.834507806205</v>
          </cell>
          <cell r="AA35">
            <v>65289.440000000002</v>
          </cell>
          <cell r="AB35">
            <v>71650.278999999995</v>
          </cell>
          <cell r="AC35">
            <v>71660.810000000012</v>
          </cell>
          <cell r="AD35">
            <v>72604.546000000002</v>
          </cell>
          <cell r="AF35">
            <v>76143.351999999999</v>
          </cell>
        </row>
        <row r="53">
          <cell r="B53">
            <v>12598.892037187703</v>
          </cell>
          <cell r="C53">
            <v>16893.61615875503</v>
          </cell>
          <cell r="D53">
            <v>14341.036854706465</v>
          </cell>
          <cell r="E53">
            <v>14683.230933748007</v>
          </cell>
          <cell r="F53">
            <v>18458.275642770226</v>
          </cell>
          <cell r="G53">
            <v>21957.556401914964</v>
          </cell>
          <cell r="L53">
            <v>2728.9290302383843</v>
          </cell>
          <cell r="M53">
            <v>3973.8986550615773</v>
          </cell>
          <cell r="N53">
            <v>3996.4319668739645</v>
          </cell>
          <cell r="O53">
            <v>3983.9712815740886</v>
          </cell>
          <cell r="P53">
            <v>4564.7158750190174</v>
          </cell>
          <cell r="Q53">
            <v>4967.6911947234566</v>
          </cell>
          <cell r="R53">
            <v>4351.9445855158519</v>
          </cell>
          <cell r="S53">
            <v>4573.923987511891</v>
          </cell>
          <cell r="T53">
            <v>4760.9631841459059</v>
          </cell>
          <cell r="U53">
            <v>6212.132216600181</v>
          </cell>
          <cell r="V53">
            <v>5911.347079164846</v>
          </cell>
          <cell r="W53">
            <v>5073.1139220040222</v>
          </cell>
          <cell r="X53">
            <v>4804.096332878582</v>
          </cell>
          <cell r="Y53">
            <v>7749.5042689853317</v>
          </cell>
          <cell r="Z53">
            <v>7560.9718045045393</v>
          </cell>
        </row>
      </sheetData>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By company"/>
      <sheetName val="PTA Asia"/>
      <sheetName val="PTA Asia (Ratio of NCE) "/>
      <sheetName val="EBITDA bridge"/>
      <sheetName val="Financials"/>
      <sheetName val="HVA INfo"/>
      <sheetName val="Analysis"/>
      <sheetName val="MDA table"/>
      <sheetName val="Sheet2"/>
      <sheetName val="Analysis of Core EP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s>
    <sheetDataSet>
      <sheetData sheetId="0"/>
      <sheetData sheetId="1"/>
      <sheetData sheetId="2"/>
      <sheetData sheetId="3">
        <row r="2">
          <cell r="X2">
            <v>31.087</v>
          </cell>
        </row>
        <row r="175">
          <cell r="AO175">
            <v>2659539.5708522103</v>
          </cell>
        </row>
        <row r="345">
          <cell r="AO345">
            <v>2319358.9555325862</v>
          </cell>
        </row>
      </sheetData>
      <sheetData sheetId="4"/>
      <sheetData sheetId="5"/>
      <sheetData sheetId="6"/>
      <sheetData sheetId="7">
        <row r="20">
          <cell r="AJ20">
            <v>-0.42909173230349618</v>
          </cell>
        </row>
      </sheetData>
      <sheetData sheetId="8"/>
      <sheetData sheetId="9"/>
      <sheetData sheetId="10"/>
      <sheetData sheetId="11"/>
      <sheetData sheetId="12">
        <row r="34">
          <cell r="K34">
            <v>-441.69172675597099</v>
          </cell>
        </row>
      </sheetData>
      <sheetData sheetId="13">
        <row r="15">
          <cell r="C15">
            <v>7684.3483502022791</v>
          </cell>
        </row>
      </sheetData>
      <sheetData sheetId="14"/>
      <sheetData sheetId="15"/>
      <sheetData sheetId="16">
        <row r="1">
          <cell r="BA1">
            <v>32.067149387755101</v>
          </cell>
        </row>
      </sheetData>
      <sheetData sheetId="17">
        <row r="1">
          <cell r="B1">
            <v>35.286499999999997</v>
          </cell>
        </row>
        <row r="20">
          <cell r="B20">
            <v>2945.6260000000002</v>
          </cell>
        </row>
        <row r="22">
          <cell r="B22">
            <v>-44.401466595070929</v>
          </cell>
        </row>
        <row r="23">
          <cell r="B23">
            <v>2485.20716551141</v>
          </cell>
          <cell r="D23">
            <v>2657.2890839999995</v>
          </cell>
        </row>
        <row r="24">
          <cell r="B24">
            <v>9.5572818053278894</v>
          </cell>
        </row>
        <row r="25">
          <cell r="B25">
            <v>1086.2987145220727</v>
          </cell>
        </row>
        <row r="27">
          <cell r="B27">
            <v>679.55443700000001</v>
          </cell>
        </row>
        <row r="28">
          <cell r="B28">
            <v>121.453535</v>
          </cell>
        </row>
        <row r="31">
          <cell r="B31">
            <v>57.035999999999987</v>
          </cell>
        </row>
        <row r="57">
          <cell r="B57">
            <v>3878.8980000000001</v>
          </cell>
        </row>
        <row r="91">
          <cell r="B91">
            <v>14874.072</v>
          </cell>
        </row>
        <row r="94">
          <cell r="B94">
            <v>3059.9839999999999</v>
          </cell>
        </row>
        <row r="95">
          <cell r="B95">
            <v>89232.435000000012</v>
          </cell>
          <cell r="H95">
            <v>79427.692673019992</v>
          </cell>
        </row>
        <row r="101">
          <cell r="B101">
            <v>106954.18999999999</v>
          </cell>
        </row>
        <row r="102">
          <cell r="B102">
            <v>734.35736614150505</v>
          </cell>
        </row>
        <row r="104">
          <cell r="B104">
            <v>14042.493097259294</v>
          </cell>
        </row>
      </sheetData>
      <sheetData sheetId="18">
        <row r="15">
          <cell r="G15">
            <v>-5.2725188164632444</v>
          </cell>
        </row>
      </sheetData>
      <sheetData sheetId="19"/>
      <sheetData sheetId="20">
        <row r="1">
          <cell r="G1">
            <v>35.4758</v>
          </cell>
        </row>
      </sheetData>
      <sheetData sheetId="21">
        <row r="14">
          <cell r="D14">
            <v>-99829.349635615945</v>
          </cell>
        </row>
      </sheetData>
      <sheetData sheetId="22">
        <row r="1">
          <cell r="C1">
            <v>35.646999999999998</v>
          </cell>
        </row>
      </sheetData>
      <sheetData sheetId="23">
        <row r="21">
          <cell r="G21">
            <v>37354.375590203301</v>
          </cell>
        </row>
      </sheetData>
      <sheetData sheetId="24"/>
      <sheetData sheetId="25"/>
      <sheetData sheetId="26"/>
      <sheetData sheetId="27"/>
      <sheetData sheetId="28"/>
      <sheetData sheetId="29"/>
      <sheetData sheetId="30"/>
      <sheetData sheetId="31">
        <row r="49">
          <cell r="G49">
            <v>38896.935647657498</v>
          </cell>
        </row>
      </sheetData>
      <sheetData sheetId="32">
        <row r="12">
          <cell r="P12">
            <v>954540600.18853498</v>
          </cell>
        </row>
      </sheetData>
      <sheetData sheetId="3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Technon PET consumption_11Oct16"/>
      <sheetName val="By company"/>
      <sheetName val="PTA Asia"/>
      <sheetName val="PTA Asia (Ratio of NCE) "/>
      <sheetName val="Analysis"/>
      <sheetName val="EBITDA bridge"/>
      <sheetName val="Financials"/>
      <sheetName val="HVA INfo"/>
      <sheetName val="MDA table"/>
      <sheetName val="Sheet2"/>
      <sheetName val="Analysis of Core EP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s>
    <sheetDataSet>
      <sheetData sheetId="0"/>
      <sheetData sheetId="1"/>
      <sheetData sheetId="2"/>
      <sheetData sheetId="3"/>
      <sheetData sheetId="4">
        <row r="2">
          <cell r="Z2">
            <v>29.855</v>
          </cell>
        </row>
        <row r="175">
          <cell r="AP175">
            <v>2668866.1836283971</v>
          </cell>
        </row>
        <row r="345">
          <cell r="AP345">
            <v>2379575.1199698388</v>
          </cell>
        </row>
      </sheetData>
      <sheetData sheetId="5"/>
      <sheetData sheetId="6"/>
      <sheetData sheetId="7"/>
      <sheetData sheetId="8"/>
      <sheetData sheetId="9">
        <row r="20">
          <cell r="AA20">
            <v>-15.77</v>
          </cell>
        </row>
      </sheetData>
      <sheetData sheetId="10"/>
      <sheetData sheetId="11">
        <row r="15">
          <cell r="Q15">
            <v>4693.2541223214575</v>
          </cell>
        </row>
        <row r="44">
          <cell r="Q44">
            <v>-12.519269972650008</v>
          </cell>
          <cell r="R44">
            <v>-41.821318557622</v>
          </cell>
          <cell r="T44">
            <v>-11.72071355015202</v>
          </cell>
        </row>
        <row r="45">
          <cell r="Q45">
            <v>432.90314050443988</v>
          </cell>
          <cell r="R45">
            <v>2608.4598285793727</v>
          </cell>
          <cell r="T45">
            <v>-1.0571094541944603E-6</v>
          </cell>
        </row>
        <row r="46">
          <cell r="Q46">
            <v>-17.103476973875217</v>
          </cell>
          <cell r="R46">
            <v>-81.431682935355866</v>
          </cell>
          <cell r="T46">
            <v>-2.9717593871851129</v>
          </cell>
        </row>
      </sheetData>
      <sheetData sheetId="12"/>
      <sheetData sheetId="13"/>
      <sheetData sheetId="14">
        <row r="3">
          <cell r="I3">
            <v>6767.4421587830802</v>
          </cell>
        </row>
      </sheetData>
      <sheetData sheetId="15"/>
      <sheetData sheetId="16"/>
      <sheetData sheetId="17"/>
      <sheetData sheetId="18">
        <row r="1">
          <cell r="B1">
            <v>34.829500000000003</v>
          </cell>
        </row>
        <row r="20">
          <cell r="B20">
            <v>2837.0637669999996</v>
          </cell>
          <cell r="D20">
            <v>2398.123</v>
          </cell>
          <cell r="P20">
            <v>2360.9214664893798</v>
          </cell>
        </row>
        <row r="22">
          <cell r="B22">
            <v>-54.186533404929079</v>
          </cell>
        </row>
        <row r="23">
          <cell r="B23">
            <v>403.28063148859019</v>
          </cell>
        </row>
        <row r="24">
          <cell r="B24">
            <v>26.218718194672114</v>
          </cell>
        </row>
        <row r="25">
          <cell r="B25">
            <v>1088.7722854779272</v>
          </cell>
        </row>
        <row r="27">
          <cell r="B27">
            <v>323.81322699999987</v>
          </cell>
        </row>
        <row r="28">
          <cell r="B28">
            <v>321.15018500000002</v>
          </cell>
        </row>
        <row r="31">
          <cell r="B31">
            <v>37.14400000000002</v>
          </cell>
        </row>
        <row r="57">
          <cell r="B57">
            <v>3583.4790000000003</v>
          </cell>
        </row>
        <row r="91">
          <cell r="B91">
            <v>14874.072</v>
          </cell>
        </row>
        <row r="94">
          <cell r="B94">
            <v>3039.6579999999999</v>
          </cell>
          <cell r="D94">
            <v>3196.1039999999998</v>
          </cell>
        </row>
        <row r="95">
          <cell r="B95">
            <v>89248.565000000002</v>
          </cell>
          <cell r="D95">
            <v>84081.222673019991</v>
          </cell>
        </row>
        <row r="101">
          <cell r="B101">
            <v>99326.966000000015</v>
          </cell>
        </row>
        <row r="102">
          <cell r="B102">
            <v>508.083639334868</v>
          </cell>
        </row>
        <row r="104">
          <cell r="B104">
            <v>14262.751060759279</v>
          </cell>
        </row>
        <row r="171">
          <cell r="O171">
            <v>3289.8192637128</v>
          </cell>
          <cell r="P171">
            <v>3366.4843940067594</v>
          </cell>
          <cell r="AB171">
            <v>201.736849672099</v>
          </cell>
          <cell r="AK171">
            <v>-1.2380496627883986E-9</v>
          </cell>
          <cell r="AN171">
            <v>3872.4177695311382</v>
          </cell>
          <cell r="AO171">
            <v>1669.8902341154139</v>
          </cell>
          <cell r="AT171">
            <v>-7.0040186983533204E-9</v>
          </cell>
          <cell r="BF171">
            <v>1669.890234123656</v>
          </cell>
          <cell r="BR171">
            <v>0</v>
          </cell>
          <cell r="CE171">
            <v>86.919482637274996</v>
          </cell>
          <cell r="CJ171">
            <v>0</v>
          </cell>
          <cell r="CS171">
            <v>0</v>
          </cell>
          <cell r="DE171">
            <v>0</v>
          </cell>
          <cell r="DO171">
            <v>147.54</v>
          </cell>
          <cell r="FB171">
            <v>8359</v>
          </cell>
        </row>
        <row r="172">
          <cell r="O172">
            <v>-10.400476729862001</v>
          </cell>
          <cell r="P172">
            <v>-96.471665880031992</v>
          </cell>
          <cell r="AB172">
            <v>-19.157653228191997</v>
          </cell>
          <cell r="AK172">
            <v>-89.626626035522008</v>
          </cell>
          <cell r="AN172">
            <v>-165.51109173241804</v>
          </cell>
          <cell r="AO172">
            <v>-126.21408373686201</v>
          </cell>
          <cell r="AT172">
            <v>-14.099514900940001</v>
          </cell>
          <cell r="BF172">
            <v>-22.487942800399999</v>
          </cell>
          <cell r="BR172">
            <v>0</v>
          </cell>
          <cell r="CE172">
            <v>31.921502977061998</v>
          </cell>
          <cell r="CJ172">
            <v>0.69305840733091983</v>
          </cell>
          <cell r="CS172">
            <v>30.911206718319999</v>
          </cell>
          <cell r="DE172">
            <v>-1.3950879999999999E-2</v>
          </cell>
          <cell r="DO172">
            <v>-386.74400000000003</v>
          </cell>
          <cell r="FB172">
            <v>-613</v>
          </cell>
        </row>
        <row r="173">
          <cell r="O173">
            <v>-3.2733200475500004</v>
          </cell>
          <cell r="P173">
            <v>-612.72562082554896</v>
          </cell>
          <cell r="AB173">
            <v>-45.041430894755997</v>
          </cell>
          <cell r="AK173">
            <v>100.21285663621643</v>
          </cell>
          <cell r="AN173">
            <v>-1294.1474532616048</v>
          </cell>
          <cell r="AO173">
            <v>-1601.6780941998218</v>
          </cell>
          <cell r="AT173">
            <v>-273.52505534706916</v>
          </cell>
          <cell r="BF173">
            <v>-1373.3123038312858</v>
          </cell>
          <cell r="BR173">
            <v>-55.053591657683299</v>
          </cell>
          <cell r="CE173">
            <v>-17.77</v>
          </cell>
          <cell r="CJ173">
            <v>272.80642547615389</v>
          </cell>
          <cell r="CS173">
            <v>72.062498382046044</v>
          </cell>
          <cell r="DE173">
            <v>291.05450661000003</v>
          </cell>
          <cell r="DO173">
            <v>1406.7670000000001</v>
          </cell>
          <cell r="FB173">
            <v>-1533.58</v>
          </cell>
        </row>
        <row r="175">
          <cell r="CE175">
            <v>90.859210196000006</v>
          </cell>
          <cell r="CJ175">
            <v>92.084992698800008</v>
          </cell>
          <cell r="DO175">
            <v>181.173</v>
          </cell>
          <cell r="FB175">
            <v>-211</v>
          </cell>
        </row>
        <row r="188">
          <cell r="O188">
            <v>0</v>
          </cell>
          <cell r="P188">
            <v>609.70100000000002</v>
          </cell>
          <cell r="AB188">
            <v>8.9285279399999986</v>
          </cell>
          <cell r="AK188">
            <v>-103.14107488794389</v>
          </cell>
          <cell r="AN188">
            <v>1244.0432183852711</v>
          </cell>
          <cell r="AO188">
            <v>1163.4759251120561</v>
          </cell>
          <cell r="AT188">
            <v>-3.3329289908579085E-4</v>
          </cell>
          <cell r="BF188">
            <v>1266.617333292899</v>
          </cell>
          <cell r="BR188">
            <v>0</v>
          </cell>
          <cell r="CE188">
            <v>384.99525469999998</v>
          </cell>
          <cell r="CJ188">
            <v>8.5312179999999987E-2</v>
          </cell>
          <cell r="DE188">
            <v>0</v>
          </cell>
          <cell r="DO188">
            <v>0</v>
          </cell>
        </row>
      </sheetData>
      <sheetData sheetId="19"/>
      <sheetData sheetId="20"/>
      <sheetData sheetId="21">
        <row r="1">
          <cell r="B1">
            <v>34.829500000000003</v>
          </cell>
        </row>
        <row r="36">
          <cell r="B36">
            <v>4814.2719999999999</v>
          </cell>
        </row>
      </sheetData>
      <sheetData sheetId="22">
        <row r="14">
          <cell r="G14">
            <v>-50494.95653706789</v>
          </cell>
        </row>
      </sheetData>
      <sheetData sheetId="23">
        <row r="1">
          <cell r="G1">
            <v>35.255600000000001</v>
          </cell>
        </row>
      </sheetData>
      <sheetData sheetId="24">
        <row r="58">
          <cell r="B58">
            <v>17671.243923598511</v>
          </cell>
        </row>
      </sheetData>
      <sheetData sheetId="25"/>
      <sheetData sheetId="26"/>
      <sheetData sheetId="27"/>
      <sheetData sheetId="28"/>
      <sheetData sheetId="29"/>
      <sheetData sheetId="30"/>
      <sheetData sheetId="31"/>
      <sheetData sheetId="32">
        <row r="101">
          <cell r="B101">
            <v>26799.199368211481</v>
          </cell>
        </row>
      </sheetData>
      <sheetData sheetId="33"/>
      <sheetData sheetId="3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By company"/>
      <sheetName val="PTA Asia"/>
      <sheetName val="PTA Asia (Ratio of NCE) "/>
      <sheetName val="EBITDA bridge"/>
      <sheetName val="Financials"/>
      <sheetName val="HVA INfo"/>
      <sheetName val="BS and NWC"/>
      <sheetName val="NCI"/>
      <sheetName val="EPS Calculation"/>
      <sheetName val="MDA table"/>
      <sheetName val="Sheet2"/>
      <sheetName val="Analysis of Core EPS"/>
      <sheetName val="Analysi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Feedstock"/>
      <sheetName val="loans to"/>
    </sheetNames>
    <sheetDataSet>
      <sheetData sheetId="0" refreshError="1"/>
      <sheetData sheetId="1" refreshError="1"/>
      <sheetData sheetId="2" refreshError="1"/>
      <sheetData sheetId="3">
        <row r="2">
          <cell r="AJ2">
            <v>32.9559</v>
          </cell>
        </row>
        <row r="179">
          <cell r="AS179">
            <v>2536311.4663970876</v>
          </cell>
          <cell r="AT179">
            <v>2567380.3761454877</v>
          </cell>
        </row>
        <row r="1457">
          <cell r="AT1457">
            <v>-789.85778313189223</v>
          </cell>
        </row>
        <row r="2368">
          <cell r="AT2368">
            <v>-45.830441508645691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0">
          <cell r="BH10">
            <v>878.90805121651272</v>
          </cell>
        </row>
        <row r="49">
          <cell r="AT49">
            <v>-92.732360810178989</v>
          </cell>
        </row>
        <row r="50">
          <cell r="AT50">
            <v>-1.69156295</v>
          </cell>
        </row>
        <row r="51">
          <cell r="AT51">
            <v>6.2450766466619658</v>
          </cell>
        </row>
      </sheetData>
      <sheetData sheetId="13" refreshError="1"/>
      <sheetData sheetId="14" refreshError="1"/>
      <sheetData sheetId="15" refreshError="1"/>
      <sheetData sheetId="16">
        <row r="3">
          <cell r="G3">
            <v>9055.8319599658989</v>
          </cell>
        </row>
      </sheetData>
      <sheetData sheetId="17" refreshError="1"/>
      <sheetData sheetId="18" refreshError="1"/>
      <sheetData sheetId="19" refreshError="1"/>
      <sheetData sheetId="20">
        <row r="1">
          <cell r="B1">
            <v>34.286299999999997</v>
          </cell>
          <cell r="C1">
            <v>35.106046774193558</v>
          </cell>
          <cell r="D1">
            <v>35.286499999999997</v>
          </cell>
        </row>
        <row r="2">
          <cell r="B2">
            <v>33.981400000000001</v>
          </cell>
          <cell r="C2">
            <v>34.450099999999999</v>
          </cell>
          <cell r="D2">
            <v>35.180199999999999</v>
          </cell>
        </row>
        <row r="20">
          <cell r="B20">
            <v>2874.5037870000006</v>
          </cell>
        </row>
        <row r="22">
          <cell r="B22">
            <v>-120.08924834169301</v>
          </cell>
        </row>
        <row r="24">
          <cell r="B24">
            <v>9.5517548702459152</v>
          </cell>
        </row>
        <row r="25">
          <cell r="B25">
            <v>990.76217444468512</v>
          </cell>
        </row>
        <row r="27">
          <cell r="B27">
            <v>592.9243899999999</v>
          </cell>
        </row>
        <row r="28">
          <cell r="B28">
            <v>-263.51481699999999</v>
          </cell>
        </row>
        <row r="31">
          <cell r="B31">
            <v>68.362000000000009</v>
          </cell>
        </row>
        <row r="33">
          <cell r="B33">
            <v>-261.78093150684936</v>
          </cell>
        </row>
        <row r="36">
          <cell r="B36">
            <v>4814.3190583626374</v>
          </cell>
          <cell r="C36">
            <v>4814.2929999999997</v>
          </cell>
          <cell r="D36">
            <v>4814.2719999999999</v>
          </cell>
        </row>
        <row r="57">
          <cell r="B57">
            <v>5256.4149333011928</v>
          </cell>
        </row>
        <row r="91">
          <cell r="B91">
            <v>14874.07167302</v>
          </cell>
        </row>
        <row r="94">
          <cell r="B94">
            <v>2008.8726125596804</v>
          </cell>
        </row>
        <row r="95">
          <cell r="B95">
            <v>94796.490549151844</v>
          </cell>
        </row>
        <row r="101">
          <cell r="B101">
            <v>106689.10248027041</v>
          </cell>
        </row>
        <row r="102">
          <cell r="B102">
            <v>258.00967002063993</v>
          </cell>
        </row>
        <row r="104">
          <cell r="B104">
            <v>21586.360719009928</v>
          </cell>
        </row>
      </sheetData>
      <sheetData sheetId="21" refreshError="1"/>
      <sheetData sheetId="22" refreshError="1"/>
      <sheetData sheetId="23">
        <row r="20">
          <cell r="B20">
            <v>83.761344134058788</v>
          </cell>
        </row>
      </sheetData>
      <sheetData sheetId="24">
        <row r="14">
          <cell r="B14">
            <v>-49734.481184214354</v>
          </cell>
          <cell r="C14">
            <v>-50094.868451401591</v>
          </cell>
          <cell r="E14">
            <v>-50495.361878439784</v>
          </cell>
          <cell r="G14">
            <v>-50494.95653706789</v>
          </cell>
        </row>
        <row r="15">
          <cell r="B15">
            <v>2725.8538807037403</v>
          </cell>
          <cell r="C15">
            <v>2726.8198600082542</v>
          </cell>
          <cell r="E15">
            <v>2725.3787895126734</v>
          </cell>
          <cell r="G15">
            <v>2727.0200467992108</v>
          </cell>
        </row>
        <row r="16">
          <cell r="B16">
            <v>59.475561979605118</v>
          </cell>
          <cell r="C16">
            <v>86.567981511325343</v>
          </cell>
          <cell r="E16">
            <v>73.213732773001539</v>
          </cell>
          <cell r="G16">
            <v>19.742723736068001</v>
          </cell>
        </row>
        <row r="58">
          <cell r="B58">
            <v>-1086326.7192197815</v>
          </cell>
          <cell r="C58">
            <v>-1039526.3043368384</v>
          </cell>
          <cell r="E58">
            <v>-992326.08622860163</v>
          </cell>
          <cell r="Q58">
            <v>-1132765.6056328937</v>
          </cell>
        </row>
        <row r="59">
          <cell r="B59">
            <v>-16973.085706951329</v>
          </cell>
          <cell r="C59">
            <v>-17125.559074136894</v>
          </cell>
          <cell r="E59">
            <v>-17292.229592208052</v>
          </cell>
        </row>
      </sheetData>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By company"/>
      <sheetName val="PTA Asia"/>
      <sheetName val="PTA Asia (Ratio of NCE) "/>
      <sheetName val="Asia Analysis"/>
      <sheetName val="EBITDA bridge"/>
      <sheetName val="Financials"/>
      <sheetName val="HVA INfo"/>
      <sheetName val="BS and NWC"/>
      <sheetName val="NCI"/>
      <sheetName val="EPS Calculation"/>
      <sheetName val="MDA table"/>
      <sheetName val="Sheet2"/>
      <sheetName val="Analysis of Core EPS"/>
      <sheetName val="Analysis"/>
      <sheetName val="EBITDA table (VJ)"/>
      <sheetName val="Sheet1"/>
      <sheetName val="Exch rates"/>
      <sheetName val="Conso_table"/>
      <sheetName val="Sheet3"/>
      <sheetName val="Conso THB"/>
      <sheetName val="Restated"/>
      <sheetName val="Conso USD (2)"/>
      <sheetName val="Conso USD"/>
      <sheetName val="Restate 2015"/>
      <sheetName val="PETwPck"/>
      <sheetName val="Poly+Wool"/>
      <sheetName val="Exchgrate"/>
      <sheetName val="Customers sales profile"/>
      <sheetName val="Feedstock"/>
      <sheetName val="loans to"/>
    </sheetNames>
    <sheetDataSet>
      <sheetData sheetId="0"/>
      <sheetData sheetId="1"/>
      <sheetData sheetId="2"/>
      <sheetData sheetId="3">
        <row r="2">
          <cell r="AK2">
            <v>33.756192817679548</v>
          </cell>
        </row>
        <row r="185">
          <cell r="AU185">
            <v>2601243.8064418328</v>
          </cell>
        </row>
        <row r="1503">
          <cell r="AU1503">
            <v>251.10068849150275</v>
          </cell>
        </row>
        <row r="2441">
          <cell r="AU2441">
            <v>-18.245909103051332</v>
          </cell>
        </row>
      </sheetData>
      <sheetData sheetId="4"/>
      <sheetData sheetId="5"/>
      <sheetData sheetId="6"/>
      <sheetData sheetId="7"/>
      <sheetData sheetId="8">
        <row r="20">
          <cell r="AL20">
            <v>-0.3884771977716599</v>
          </cell>
        </row>
      </sheetData>
      <sheetData sheetId="9"/>
      <sheetData sheetId="10"/>
      <sheetData sheetId="11"/>
      <sheetData sheetId="12"/>
      <sheetData sheetId="13">
        <row r="22">
          <cell r="Q22">
            <v>2864.245278031874</v>
          </cell>
        </row>
        <row r="48">
          <cell r="BL48">
            <v>-124.26129056984905</v>
          </cell>
        </row>
        <row r="49">
          <cell r="BL49">
            <v>-1214.9292228754421</v>
          </cell>
        </row>
        <row r="50">
          <cell r="BL50">
            <v>-31.79136450303281</v>
          </cell>
        </row>
      </sheetData>
      <sheetData sheetId="14"/>
      <sheetData sheetId="15"/>
      <sheetData sheetId="16"/>
      <sheetData sheetId="17">
        <row r="3">
          <cell r="G3">
            <v>9062.8853700065429</v>
          </cell>
        </row>
      </sheetData>
      <sheetData sheetId="18"/>
      <sheetData sheetId="19"/>
      <sheetData sheetId="20"/>
      <sheetData sheetId="21"/>
      <sheetData sheetId="22">
        <row r="1">
          <cell r="B1">
            <v>33.373800000000003</v>
          </cell>
        </row>
        <row r="2">
          <cell r="B2">
            <v>33.368400000000001</v>
          </cell>
        </row>
        <row r="20">
          <cell r="B20">
            <v>3132.222213</v>
          </cell>
        </row>
        <row r="22">
          <cell r="B22">
            <v>46.673248341693004</v>
          </cell>
        </row>
        <row r="24">
          <cell r="B24">
            <v>9.8862451297540872</v>
          </cell>
        </row>
        <row r="25">
          <cell r="B25">
            <v>963.32282555531515</v>
          </cell>
        </row>
        <row r="27">
          <cell r="B27">
            <v>642.02555300000017</v>
          </cell>
        </row>
        <row r="28">
          <cell r="B28">
            <v>424.43402800000001</v>
          </cell>
        </row>
        <row r="31">
          <cell r="B31">
            <v>30.150999999999982</v>
          </cell>
        </row>
        <row r="33">
          <cell r="B33">
            <v>-264.65753424657555</v>
          </cell>
        </row>
        <row r="36">
          <cell r="B36">
            <v>5061.3676620326087</v>
          </cell>
        </row>
        <row r="57">
          <cell r="B57">
            <v>4600.9960000000001</v>
          </cell>
        </row>
        <row r="91">
          <cell r="B91">
            <v>14874.072</v>
          </cell>
        </row>
        <row r="94">
          <cell r="B94">
            <v>2006.3019999999999</v>
          </cell>
        </row>
        <row r="95">
          <cell r="B95">
            <v>110635.743</v>
          </cell>
        </row>
        <row r="101">
          <cell r="B101">
            <v>92766.872999999992</v>
          </cell>
        </row>
        <row r="102">
          <cell r="B102">
            <v>-44.096207935535013</v>
          </cell>
        </row>
        <row r="104">
          <cell r="B104">
            <v>25136.717668448793</v>
          </cell>
        </row>
      </sheetData>
      <sheetData sheetId="23"/>
      <sheetData sheetId="24"/>
      <sheetData sheetId="25">
        <row r="1">
          <cell r="K1">
            <v>35.402340163934419</v>
          </cell>
        </row>
      </sheetData>
      <sheetData sheetId="26">
        <row r="21">
          <cell r="N21">
            <v>3134.6501813528021</v>
          </cell>
        </row>
      </sheetData>
      <sheetData sheetId="27"/>
      <sheetData sheetId="28"/>
      <sheetData sheetId="29"/>
      <sheetData sheetId="30"/>
      <sheetData sheetId="31"/>
      <sheetData sheetId="3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By company"/>
      <sheetName val="EBITDA bridge"/>
      <sheetName val="HVA INfo"/>
      <sheetName val="MDA table"/>
      <sheetName val="Analysis of Core EPS"/>
      <sheetName val="EBITDA table (VJ)"/>
      <sheetName val="Sheet1"/>
      <sheetName val="Financials"/>
      <sheetName val="Exch rates"/>
      <sheetName val="Conso_table"/>
      <sheetName val="Restated"/>
      <sheetName val="Conso THB"/>
      <sheetName val="Conso USD"/>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 val="Sheet2"/>
    </sheetNames>
    <sheetDataSet>
      <sheetData sheetId="0"/>
      <sheetData sheetId="1"/>
      <sheetData sheetId="2"/>
      <sheetData sheetId="3">
        <row r="2">
          <cell r="R2">
            <v>31.701000000000001</v>
          </cell>
        </row>
      </sheetData>
      <sheetData sheetId="4"/>
      <sheetData sheetId="5"/>
      <sheetData sheetId="6"/>
      <sheetData sheetId="7"/>
      <sheetData sheetId="8"/>
      <sheetData sheetId="9"/>
      <sheetData sheetId="10">
        <row r="68">
          <cell r="AJ68">
            <v>2339.7914552292591</v>
          </cell>
        </row>
        <row r="165">
          <cell r="W165">
            <v>50.792906245172738</v>
          </cell>
          <cell r="X165">
            <v>69.166762761341445</v>
          </cell>
          <cell r="Y165">
            <v>30.20428364581791</v>
          </cell>
          <cell r="Z165">
            <v>33.955720549655638</v>
          </cell>
        </row>
        <row r="166">
          <cell r="W166">
            <v>8.0509544209302319</v>
          </cell>
          <cell r="X166">
            <v>11.514856588339729</v>
          </cell>
          <cell r="Y166">
            <v>13.502184133265498</v>
          </cell>
          <cell r="Z166">
            <v>9.6475749478533857</v>
          </cell>
        </row>
      </sheetData>
      <sheetData sheetId="11"/>
      <sheetData sheetId="12">
        <row r="87">
          <cell r="B87">
            <v>178.60023268445676</v>
          </cell>
        </row>
      </sheetData>
      <sheetData sheetId="13"/>
      <sheetData sheetId="14">
        <row r="1">
          <cell r="BL1">
            <v>30.729800000000001</v>
          </cell>
          <cell r="BU1">
            <v>30.411000000000001</v>
          </cell>
          <cell r="CG1">
            <v>29.855</v>
          </cell>
        </row>
        <row r="20">
          <cell r="D20">
            <v>2045.2550000000001</v>
          </cell>
          <cell r="O20">
            <v>2049.5434445339069</v>
          </cell>
          <cell r="P20">
            <v>1918.4099999999999</v>
          </cell>
          <cell r="X20">
            <v>2085.7021160000004</v>
          </cell>
          <cell r="Y20">
            <v>1881.6859999999997</v>
          </cell>
          <cell r="AB20">
            <v>8098.9105605339073</v>
          </cell>
          <cell r="AC20">
            <v>7051.2</v>
          </cell>
          <cell r="AH20">
            <v>1796.0149999999999</v>
          </cell>
          <cell r="AQ20">
            <v>1650.4990000000003</v>
          </cell>
          <cell r="BC20">
            <v>1723</v>
          </cell>
          <cell r="BM20">
            <v>6719.134</v>
          </cell>
          <cell r="CZ20">
            <v>4776</v>
          </cell>
          <cell r="EP20">
            <v>3471</v>
          </cell>
        </row>
        <row r="22">
          <cell r="B22">
            <v>-31.884</v>
          </cell>
          <cell r="C22">
            <v>-91.778000000000006</v>
          </cell>
          <cell r="D22">
            <v>-203.97099999999998</v>
          </cell>
          <cell r="O22">
            <v>-365.34500000000003</v>
          </cell>
          <cell r="P22">
            <v>-235.727</v>
          </cell>
          <cell r="X22">
            <v>-131.61800000000005</v>
          </cell>
          <cell r="Y22">
            <v>-278.44199999999995</v>
          </cell>
          <cell r="AB22">
            <v>-936.66100000000006</v>
          </cell>
          <cell r="AC22">
            <v>-740.61799999999994</v>
          </cell>
          <cell r="AH22">
            <v>-205.91300000000001</v>
          </cell>
          <cell r="AQ22">
            <v>-79.262999999999977</v>
          </cell>
          <cell r="BC22">
            <v>-177</v>
          </cell>
          <cell r="BM22">
            <v>-889.11</v>
          </cell>
          <cell r="CZ22">
            <v>-303</v>
          </cell>
          <cell r="EP22">
            <v>0</v>
          </cell>
        </row>
        <row r="23">
          <cell r="D23">
            <v>274.08760000000012</v>
          </cell>
          <cell r="O23">
            <v>10.594765883350192</v>
          </cell>
          <cell r="P23">
            <v>-55.053599999999996</v>
          </cell>
          <cell r="X23">
            <v>-287.62176588335012</v>
          </cell>
          <cell r="Y23">
            <v>-567.50199999999995</v>
          </cell>
          <cell r="AB23">
            <v>-57.992999999999824</v>
          </cell>
          <cell r="AC23">
            <v>191.93699999999995</v>
          </cell>
          <cell r="AH23">
            <v>365.58499999999975</v>
          </cell>
          <cell r="AQ23">
            <v>102.75400000000008</v>
          </cell>
          <cell r="BC23">
            <v>291.10000000000002</v>
          </cell>
          <cell r="BM23">
            <v>1349.26</v>
          </cell>
          <cell r="CZ23">
            <v>6001.42</v>
          </cell>
          <cell r="EP23">
            <v>2451</v>
          </cell>
        </row>
        <row r="24">
          <cell r="B24">
            <v>22.576999999999998</v>
          </cell>
          <cell r="C24">
            <v>72.92</v>
          </cell>
          <cell r="D24">
            <v>11.288</v>
          </cell>
          <cell r="O24">
            <v>37.525434788471699</v>
          </cell>
          <cell r="P24">
            <v>9.6539999999999999</v>
          </cell>
          <cell r="X24">
            <v>13.148000000000003</v>
          </cell>
          <cell r="Y24">
            <v>-12.344999999999999</v>
          </cell>
          <cell r="AB24">
            <v>71.615434788471703</v>
          </cell>
          <cell r="AC24">
            <v>152.62299999999999</v>
          </cell>
          <cell r="AH24">
            <v>25.164999999999992</v>
          </cell>
          <cell r="AQ24">
            <v>36.802999999999997</v>
          </cell>
          <cell r="BC24">
            <v>103</v>
          </cell>
          <cell r="BM24">
            <v>272.62</v>
          </cell>
          <cell r="CZ24">
            <v>487</v>
          </cell>
          <cell r="EP24">
            <v>7</v>
          </cell>
        </row>
        <row r="25">
          <cell r="B25">
            <v>914.85400000000016</v>
          </cell>
          <cell r="C25">
            <v>889.16099999999994</v>
          </cell>
          <cell r="D25">
            <v>917.84799999999996</v>
          </cell>
          <cell r="O25">
            <v>865.08399999999983</v>
          </cell>
          <cell r="P25">
            <v>865.2</v>
          </cell>
          <cell r="X25">
            <v>904.19600000000014</v>
          </cell>
          <cell r="Y25">
            <v>1022.3009999999999</v>
          </cell>
          <cell r="AB25">
            <v>3552.328</v>
          </cell>
          <cell r="AC25">
            <v>3779.875</v>
          </cell>
          <cell r="AH25">
            <v>919.5630000000001</v>
          </cell>
          <cell r="AQ25">
            <v>927.01099999999997</v>
          </cell>
          <cell r="BC25">
            <v>911</v>
          </cell>
          <cell r="BM25">
            <v>3447.14</v>
          </cell>
          <cell r="CZ25">
            <v>2370</v>
          </cell>
          <cell r="EP25">
            <v>1303</v>
          </cell>
        </row>
        <row r="27">
          <cell r="B27">
            <v>283.12132261325098</v>
          </cell>
          <cell r="C27">
            <v>169.807561386749</v>
          </cell>
          <cell r="D27">
            <v>204.29498699999999</v>
          </cell>
          <cell r="O27">
            <v>-38.708804239346989</v>
          </cell>
          <cell r="P27">
            <v>107.085013</v>
          </cell>
          <cell r="X27">
            <v>178.54470904200002</v>
          </cell>
          <cell r="Y27">
            <v>-24.958000000000027</v>
          </cell>
          <cell r="AB27">
            <v>451.21590480265303</v>
          </cell>
          <cell r="AC27">
            <v>302.488</v>
          </cell>
          <cell r="AH27">
            <v>148.04000000000002</v>
          </cell>
          <cell r="AQ27">
            <v>102.13000000000001</v>
          </cell>
          <cell r="BC27">
            <v>77.275999999999996</v>
          </cell>
          <cell r="BM27">
            <v>579.75699999999995</v>
          </cell>
          <cell r="CZ27">
            <v>742</v>
          </cell>
          <cell r="EP27">
            <v>488</v>
          </cell>
        </row>
        <row r="28">
          <cell r="D28">
            <v>302.52727900000002</v>
          </cell>
          <cell r="O28">
            <v>354.16770603000009</v>
          </cell>
          <cell r="P28">
            <v>367.58672100000001</v>
          </cell>
          <cell r="X28">
            <v>138.96498846999998</v>
          </cell>
          <cell r="Y28">
            <v>364.29300000000001</v>
          </cell>
          <cell r="AB28">
            <v>1163.2466945000001</v>
          </cell>
          <cell r="AC28">
            <v>991.404</v>
          </cell>
          <cell r="AH28">
            <v>226.82599999999996</v>
          </cell>
          <cell r="AQ28">
            <v>289.41900000000004</v>
          </cell>
          <cell r="BC28">
            <v>110.866</v>
          </cell>
          <cell r="BM28">
            <v>1492.046</v>
          </cell>
        </row>
        <row r="31">
          <cell r="D31">
            <v>115.38400000000001</v>
          </cell>
          <cell r="O31">
            <v>63.315995615763171</v>
          </cell>
          <cell r="P31">
            <v>75.296999999999997</v>
          </cell>
          <cell r="X31">
            <v>31.189999999999998</v>
          </cell>
          <cell r="Y31">
            <v>13.244999999999976</v>
          </cell>
          <cell r="AB31">
            <v>285.18699561576318</v>
          </cell>
          <cell r="AC31">
            <v>190.71199999999999</v>
          </cell>
          <cell r="AH31">
            <v>108.41100000000002</v>
          </cell>
          <cell r="AQ31">
            <v>52.055999999999997</v>
          </cell>
          <cell r="BC31">
            <v>17</v>
          </cell>
          <cell r="BM31">
            <v>164.363</v>
          </cell>
          <cell r="CZ31">
            <v>-139</v>
          </cell>
          <cell r="EP31">
            <v>560</v>
          </cell>
        </row>
        <row r="57">
          <cell r="B57">
            <v>5551.4601759277011</v>
          </cell>
          <cell r="D57">
            <v>3787.16</v>
          </cell>
          <cell r="O57">
            <v>10521.412674759842</v>
          </cell>
          <cell r="P57">
            <v>4493.0219999999999</v>
          </cell>
          <cell r="X57">
            <v>3564.895</v>
          </cell>
          <cell r="Y57">
            <v>4376.9900000000007</v>
          </cell>
          <cell r="AB57">
            <v>10521.412674759842</v>
          </cell>
          <cell r="AC57">
            <v>4376.9900000000007</v>
          </cell>
          <cell r="AH57">
            <v>3709.9500000000003</v>
          </cell>
          <cell r="AQ57">
            <v>4366.223</v>
          </cell>
          <cell r="BC57">
            <v>5715.6</v>
          </cell>
          <cell r="BM57">
            <v>4601.7569999999996</v>
          </cell>
          <cell r="CZ57">
            <v>17707</v>
          </cell>
          <cell r="EP57">
            <v>2024</v>
          </cell>
        </row>
        <row r="90">
          <cell r="B90">
            <v>14874.07167302</v>
          </cell>
          <cell r="C90">
            <v>14874.07167302</v>
          </cell>
          <cell r="D90">
            <v>0</v>
          </cell>
          <cell r="O90">
            <v>14874.07167302</v>
          </cell>
          <cell r="P90">
            <v>0</v>
          </cell>
          <cell r="X90">
            <v>0</v>
          </cell>
          <cell r="Y90">
            <v>0</v>
          </cell>
          <cell r="AB90">
            <v>14874.07167302</v>
          </cell>
          <cell r="AC90">
            <v>0</v>
          </cell>
          <cell r="AH90">
            <v>0</v>
          </cell>
          <cell r="AQ90">
            <v>0</v>
          </cell>
          <cell r="BC90">
            <v>0</v>
          </cell>
          <cell r="BM90">
            <v>0</v>
          </cell>
          <cell r="CZ90">
            <v>0</v>
          </cell>
          <cell r="EP90">
            <v>0</v>
          </cell>
        </row>
        <row r="94">
          <cell r="D94">
            <v>63118.030543373323</v>
          </cell>
          <cell r="P94">
            <v>61395.576999999997</v>
          </cell>
          <cell r="X94">
            <v>61171.685541068968</v>
          </cell>
          <cell r="Y94">
            <v>61567.762999999999</v>
          </cell>
          <cell r="AH94">
            <v>58760.79</v>
          </cell>
          <cell r="AQ94">
            <v>57234.82</v>
          </cell>
          <cell r="BC94">
            <v>54007.3</v>
          </cell>
          <cell r="BM94">
            <v>56564.706999999995</v>
          </cell>
          <cell r="CZ94">
            <v>58766</v>
          </cell>
          <cell r="EP94">
            <v>32241</v>
          </cell>
        </row>
        <row r="100">
          <cell r="B100">
            <v>79030.668024987623</v>
          </cell>
          <cell r="D100">
            <v>82279.580249575112</v>
          </cell>
          <cell r="O100">
            <v>73293.569863471726</v>
          </cell>
          <cell r="P100">
            <v>82872.926999999996</v>
          </cell>
          <cell r="X100">
            <v>80253.555769527709</v>
          </cell>
          <cell r="Y100">
            <v>85266.07</v>
          </cell>
          <cell r="AB100">
            <v>73293.569863471726</v>
          </cell>
          <cell r="AC100">
            <v>85266.07</v>
          </cell>
          <cell r="AH100">
            <v>81631.187999999995</v>
          </cell>
          <cell r="AQ100">
            <v>81514.714000000007</v>
          </cell>
          <cell r="BC100">
            <v>80750.8</v>
          </cell>
          <cell r="BM100">
            <v>80629.5</v>
          </cell>
          <cell r="CZ100">
            <v>61346</v>
          </cell>
          <cell r="EP100">
            <v>32068</v>
          </cell>
        </row>
        <row r="101">
          <cell r="B101">
            <v>481.08433933635894</v>
          </cell>
          <cell r="D101">
            <v>244.26627098324661</v>
          </cell>
          <cell r="O101">
            <v>116.61944997895721</v>
          </cell>
          <cell r="P101">
            <v>24.948942626786195</v>
          </cell>
          <cell r="X101">
            <v>244.43375023717252</v>
          </cell>
          <cell r="Y101">
            <v>-24.928536897370122</v>
          </cell>
          <cell r="AB101">
            <v>116.61944997895721</v>
          </cell>
          <cell r="AC101">
            <v>-24.928536897370122</v>
          </cell>
          <cell r="AH101">
            <v>69.47637055725977</v>
          </cell>
          <cell r="AQ101">
            <v>55.069337585798664</v>
          </cell>
          <cell r="BC101">
            <v>25.3826943598852</v>
          </cell>
          <cell r="BM101">
            <v>29.181125904138767</v>
          </cell>
          <cell r="CZ101">
            <v>0</v>
          </cell>
          <cell r="EP101">
            <v>0</v>
          </cell>
        </row>
        <row r="103">
          <cell r="B103">
            <v>5568.6256771612698</v>
          </cell>
          <cell r="D103">
            <v>6189.1612591057401</v>
          </cell>
          <cell r="O103">
            <v>4642.7640000000001</v>
          </cell>
          <cell r="P103">
            <v>5556.8604547102332</v>
          </cell>
          <cell r="X103">
            <v>6188.1859999999997</v>
          </cell>
          <cell r="Y103">
            <v>7922.7349999999997</v>
          </cell>
          <cell r="AB103">
            <v>4642.7640000000001</v>
          </cell>
          <cell r="AC103">
            <v>7922.7349999999997</v>
          </cell>
          <cell r="AH103">
            <v>6705.2207351291809</v>
          </cell>
          <cell r="AQ103">
            <v>6676.3022775914696</v>
          </cell>
          <cell r="BC103">
            <v>7102.0716410933301</v>
          </cell>
          <cell r="BM103">
            <v>4937.3659093819924</v>
          </cell>
          <cell r="CZ103">
            <v>6692</v>
          </cell>
          <cell r="EP103">
            <v>0</v>
          </cell>
        </row>
      </sheetData>
      <sheetData sheetId="15">
        <row r="27">
          <cell r="B27">
            <v>8.5420302880647725</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By company"/>
      <sheetName val="PTA Asia"/>
      <sheetName val="PTA Asia (Ratio of NCE) "/>
      <sheetName val="EBITDA bridge"/>
      <sheetName val="Financials"/>
      <sheetName val="HVA INfo"/>
      <sheetName val="BS and NWC"/>
      <sheetName val="NCI"/>
      <sheetName val="EPS Calculation"/>
      <sheetName val="MDA table"/>
      <sheetName val="Sheet2"/>
      <sheetName val="Analysis of Core EPS"/>
      <sheetName val="Analysi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Feedstock"/>
      <sheetName val="loans to"/>
    </sheetNames>
    <sheetDataSet>
      <sheetData sheetId="0"/>
      <sheetData sheetId="1"/>
      <sheetData sheetId="2"/>
      <sheetData sheetId="3">
        <row r="2">
          <cell r="AI2">
            <v>32.646173770491792</v>
          </cell>
        </row>
        <row r="1429">
          <cell r="AS1429">
            <v>1340.9098661042663</v>
          </cell>
        </row>
        <row r="2322">
          <cell r="AS2322">
            <v>209.35759774103565</v>
          </cell>
        </row>
      </sheetData>
      <sheetData sheetId="4"/>
      <sheetData sheetId="5"/>
      <sheetData sheetId="6"/>
      <sheetData sheetId="7">
        <row r="20">
          <cell r="AO20">
            <v>-0.29350092697729324</v>
          </cell>
        </row>
      </sheetData>
      <sheetData sheetId="8"/>
      <sheetData sheetId="9"/>
      <sheetData sheetId="10"/>
      <sheetData sheetId="11"/>
      <sheetData sheetId="12">
        <row r="15">
          <cell r="AK15">
            <v>4872.4321338957325</v>
          </cell>
        </row>
        <row r="45">
          <cell r="AK45">
            <v>-72.836029231999987</v>
          </cell>
        </row>
        <row r="46">
          <cell r="AK46">
            <v>0</v>
          </cell>
        </row>
        <row r="47">
          <cell r="AK47">
            <v>45.989523138615006</v>
          </cell>
        </row>
      </sheetData>
      <sheetData sheetId="13"/>
      <sheetData sheetId="14"/>
      <sheetData sheetId="15"/>
      <sheetData sheetId="16">
        <row r="3">
          <cell r="G3">
            <v>9152.2932951810471</v>
          </cell>
        </row>
      </sheetData>
      <sheetData sheetId="17"/>
      <sheetData sheetId="18"/>
      <sheetData sheetId="19"/>
      <sheetData sheetId="20">
        <row r="1">
          <cell r="B1">
            <v>35.106046774193558</v>
          </cell>
        </row>
        <row r="20">
          <cell r="B20">
            <v>2809.0079999999998</v>
          </cell>
        </row>
        <row r="22">
          <cell r="B22">
            <v>146.482</v>
          </cell>
        </row>
        <row r="24">
          <cell r="B24">
            <v>19.744</v>
          </cell>
        </row>
        <row r="25">
          <cell r="B25">
            <v>1005.204</v>
          </cell>
        </row>
        <row r="27">
          <cell r="B27">
            <v>513.85599999999999</v>
          </cell>
        </row>
        <row r="28">
          <cell r="B28">
            <v>336.40300000000002</v>
          </cell>
        </row>
        <row r="31">
          <cell r="B31">
            <v>70.789000000000001</v>
          </cell>
        </row>
        <row r="33">
          <cell r="B33">
            <v>-258.904</v>
          </cell>
        </row>
        <row r="57">
          <cell r="B57">
            <v>4994.6189999999997</v>
          </cell>
        </row>
        <row r="91">
          <cell r="B91">
            <v>14874.072</v>
          </cell>
        </row>
        <row r="94">
          <cell r="B94">
            <v>2634.3989999999999</v>
          </cell>
        </row>
        <row r="95">
          <cell r="B95">
            <v>93440.168000000005</v>
          </cell>
          <cell r="CW95">
            <v>61567.762999999999</v>
          </cell>
        </row>
        <row r="101">
          <cell r="B101">
            <v>98501.267000000007</v>
          </cell>
        </row>
        <row r="102">
          <cell r="B102">
            <v>133.38956509030569</v>
          </cell>
        </row>
        <row r="104">
          <cell r="B104">
            <v>18421.679024350226</v>
          </cell>
        </row>
      </sheetData>
      <sheetData sheetId="21"/>
      <sheetData sheetId="22"/>
      <sheetData sheetId="23">
        <row r="1">
          <cell r="B1">
            <v>35.106046774193558</v>
          </cell>
        </row>
      </sheetData>
      <sheetData sheetId="24"/>
      <sheetData sheetId="25"/>
      <sheetData sheetId="26"/>
      <sheetData sheetId="27"/>
      <sheetData sheetId="28"/>
      <sheetData sheetId="29"/>
      <sheetData sheetId="3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EPS"/>
      <sheetName val="Q4'2014"/>
      <sheetName val="Q4'2015"/>
      <sheetName val="Q4'2016"/>
    </sheetNames>
    <sheetDataSet>
      <sheetData sheetId="0">
        <row r="4">
          <cell r="B4">
            <v>0.31089008712467087</v>
          </cell>
        </row>
      </sheetData>
      <sheetData sheetId="1">
        <row r="11">
          <cell r="B11">
            <v>-178356164.383562</v>
          </cell>
        </row>
      </sheetData>
      <sheetData sheetId="2">
        <row r="11">
          <cell r="B11">
            <v>-258904109.58904099</v>
          </cell>
          <cell r="F11">
            <v>-520684931.50684899</v>
          </cell>
          <cell r="J11">
            <v>-785342465.753425</v>
          </cell>
        </row>
      </sheetData>
      <sheetData sheetId="3">
        <row r="11">
          <cell r="B11">
            <v>-261780821.917808</v>
          </cell>
          <cell r="F11">
            <v>-522131147.54098397</v>
          </cell>
          <cell r="J11">
            <v>-786065573.77049196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Summary HFM"/>
      <sheetName val="Summary New"/>
      <sheetName val="maint capex-poly"/>
      <sheetName val="Financials"/>
      <sheetName val="MD&amp;A (R)"/>
      <sheetName val="MD&amp;A"/>
      <sheetName val="CFF 4Q15"/>
      <sheetName val="Both Segments"/>
      <sheetName val="DisposalPPE4Q15"/>
      <sheetName val="Other Investment4Q15"/>
      <sheetName val="PurchasePPE4Q15"/>
      <sheetName val="Acquisition4Q15"/>
      <sheetName val="Disposal Intan4Q15"/>
      <sheetName val="Purchase Intang4Q15"/>
      <sheetName val="Capex Breakup 4Q15 "/>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 val="Reconcile"/>
      <sheetName val="Sheet8"/>
    </sheetNames>
    <sheetDataSet>
      <sheetData sheetId="0"/>
      <sheetData sheetId="1">
        <row r="357">
          <cell r="D357">
            <v>174.75458153218898</v>
          </cell>
        </row>
      </sheetData>
      <sheetData sheetId="2">
        <row r="117">
          <cell r="E117">
            <v>17.621829864028086</v>
          </cell>
        </row>
      </sheetData>
      <sheetData sheetId="3"/>
      <sheetData sheetId="4"/>
      <sheetData sheetId="5">
        <row r="14">
          <cell r="B14">
            <v>-3177.9897245669003</v>
          </cell>
        </row>
      </sheetData>
      <sheetData sheetId="6">
        <row r="4">
          <cell r="B4">
            <v>22322.457336197174</v>
          </cell>
        </row>
        <row r="7">
          <cell r="B7">
            <v>24806.09969620538</v>
          </cell>
        </row>
        <row r="10">
          <cell r="B10">
            <v>-24505.941994115423</v>
          </cell>
        </row>
        <row r="11">
          <cell r="B11">
            <v>-5361.7687794224939</v>
          </cell>
        </row>
        <row r="12">
          <cell r="B12">
            <v>-1869.5559657444485</v>
          </cell>
        </row>
        <row r="13">
          <cell r="B13">
            <v>-3544.1576970618721</v>
          </cell>
        </row>
        <row r="14">
          <cell r="B14">
            <v>-3177.9897245669003</v>
          </cell>
        </row>
        <row r="43">
          <cell r="C43">
            <v>-114.3460468248104</v>
          </cell>
        </row>
        <row r="50">
          <cell r="B50">
            <v>-4655.8775649080471</v>
          </cell>
          <cell r="C50">
            <v>-4218.4502666182725</v>
          </cell>
        </row>
        <row r="51">
          <cell r="B51">
            <v>-623.74045462587173</v>
          </cell>
          <cell r="C51">
            <v>-518.5865058029483</v>
          </cell>
        </row>
        <row r="52">
          <cell r="B52">
            <v>-1223.8553064333341</v>
          </cell>
        </row>
        <row r="53">
          <cell r="B53">
            <v>-264.70372181247512</v>
          </cell>
          <cell r="C53">
            <v>-1423.5992105315158</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Summary HFM"/>
      <sheetName val="CF 4Q16"/>
      <sheetName val="Summary New"/>
      <sheetName val="Both Segments"/>
      <sheetName val="MD&amp;A (4Q16) "/>
      <sheetName val="NWC on acq THB"/>
      <sheetName val="NWC on acq USD"/>
      <sheetName val="DisposalPPE4Q16"/>
      <sheetName val="MD&amp;A (3Q16) New"/>
      <sheetName val="MD&amp;A (2Q16)"/>
      <sheetName val="MD&amp;A (3Q16) "/>
      <sheetName val="MD&amp;A"/>
      <sheetName val="CFF 3Q16"/>
      <sheetName val="Other Investment4Q16"/>
      <sheetName val="Acquisition4Q16"/>
      <sheetName val="PurchasePPE4Q16"/>
      <sheetName val="Purchase Intang4Q16"/>
      <sheetName val="Capex Breakup 4Q16 "/>
      <sheetName val="Disposal Intan4Q16"/>
      <sheetName val="PurchasePPE3Q16"/>
      <sheetName val="Other Investment3Q16"/>
      <sheetName val="Disposal Intan3Q16"/>
      <sheetName val="DisposalPPE3Q16"/>
      <sheetName val="Purchase Intang3Q16"/>
      <sheetName val="Acquisition3Q16"/>
      <sheetName val="Capex Breakup 3Q16 "/>
      <sheetName val="Acquisition2Q16"/>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Acquisition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sheetName val="Investments (2)"/>
      <sheetName val="Reconcile"/>
    </sheetNames>
    <sheetDataSet>
      <sheetData sheetId="0"/>
      <sheetData sheetId="1"/>
      <sheetData sheetId="2">
        <row r="357">
          <cell r="D357">
            <v>-40.17421556941607</v>
          </cell>
        </row>
      </sheetData>
      <sheetData sheetId="3"/>
      <sheetData sheetId="4">
        <row r="142">
          <cell r="E142">
            <v>25.664358301463434</v>
          </cell>
        </row>
      </sheetData>
      <sheetData sheetId="5"/>
      <sheetData sheetId="6">
        <row r="29">
          <cell r="E29">
            <v>-34034.065130735755</v>
          </cell>
        </row>
        <row r="74">
          <cell r="E74">
            <v>26209.00800683138</v>
          </cell>
        </row>
        <row r="75">
          <cell r="B75">
            <v>-3543.8332331121064</v>
          </cell>
          <cell r="E75">
            <v>-26391.267340060156</v>
          </cell>
        </row>
        <row r="76">
          <cell r="B76">
            <v>8.703978589999906</v>
          </cell>
          <cell r="E76">
            <v>-7911.205468972601</v>
          </cell>
        </row>
        <row r="77">
          <cell r="B77">
            <v>-907.53227775935648</v>
          </cell>
          <cell r="E77">
            <v>-2814.8215788079315</v>
          </cell>
        </row>
        <row r="79">
          <cell r="E79">
            <v>-4431.0961299719165</v>
          </cell>
        </row>
        <row r="80">
          <cell r="E80">
            <v>-1262.8351817456632</v>
          </cell>
        </row>
        <row r="81">
          <cell r="E81">
            <v>-4035.8817301491999</v>
          </cell>
        </row>
      </sheetData>
      <sheetData sheetId="7"/>
      <sheetData sheetId="8">
        <row r="4">
          <cell r="F4">
            <v>-14.018986530062396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NTFS"/>
      <sheetName val="CF4Q17"/>
      <sheetName val="CF3Q17"/>
      <sheetName val="CF 1Q17"/>
      <sheetName val="CF 4Q16"/>
      <sheetName val="CFF 3Q16"/>
      <sheetName val="CF 2Q17"/>
      <sheetName val="Summary HFM"/>
      <sheetName val="MD&amp;A(1Q18) "/>
      <sheetName val="Summary New"/>
      <sheetName val="MD&amp;A(4Q17)"/>
      <sheetName val="Both Segments"/>
      <sheetName val="Acquisition4Q17"/>
      <sheetName val="MD&amp;A (3Q17)  "/>
      <sheetName val="MD&amp;A (2Q17) "/>
      <sheetName val="MD&amp;A (4Q16) "/>
      <sheetName val="Other Investment4Q17"/>
      <sheetName val="Other Investment3Q17"/>
      <sheetName val="DisposalPPE4Q17"/>
      <sheetName val="Disposal Intan4Q17"/>
      <sheetName val="NWC on acq THB"/>
      <sheetName val="NWC on acq USD"/>
      <sheetName val="WBRFQ4"/>
      <sheetName val="GLLVQ4"/>
      <sheetName val="DuraFiberQ4"/>
      <sheetName val="GlanzstoffQ4"/>
      <sheetName val="IVPPTAUTLQ4"/>
      <sheetName val="Acquisition3Q17"/>
      <sheetName val="GlanzstoffQ3"/>
      <sheetName val="GlanzstoffQ2"/>
      <sheetName val="PurchasePPE4Q17"/>
      <sheetName val="Purchase Intang4Q17"/>
      <sheetName val="MD&amp;A (3Q16) New"/>
      <sheetName val="MD&amp;A (1Q17) "/>
      <sheetName val="Capex Breakup 4Q17"/>
      <sheetName val="Capex Breakup 3Q17"/>
      <sheetName val="Disposal Intan3Q17"/>
      <sheetName val="DisposalPPE3Q17"/>
      <sheetName val="PurchasePPE3Q17"/>
      <sheetName val="Purchase Intang3Q17"/>
      <sheetName val="PurchasePPE2Q17"/>
      <sheetName val="Other Investment2Q17"/>
      <sheetName val="DisposalPPE2Q17"/>
      <sheetName val="Acquisition2Q17"/>
      <sheetName val="Acquisition3Q16"/>
      <sheetName val="Acquisition1Q15"/>
      <sheetName val="Acquisition4Q16"/>
      <sheetName val="Acquisition2Q16"/>
      <sheetName val="Acquisition4Q15"/>
      <sheetName val="Acquisition3Q15"/>
      <sheetName val="Acquisition2Q15"/>
      <sheetName val="MD&amp;A (2Q16)"/>
      <sheetName val="MD&amp;A (3Q16) "/>
      <sheetName val="MD&amp;A"/>
      <sheetName val="DuraFiberQ3"/>
      <sheetName val="Disposal Intan2Q17"/>
      <sheetName val="Purchase Intang2Q17"/>
      <sheetName val="Capex Breakup 2Q17 "/>
      <sheetName val="PurchasePPE1Q17"/>
      <sheetName val="DisposalPPE1Q17"/>
      <sheetName val="Other Investment1Q17"/>
      <sheetName val="Purchase Intang1Q17"/>
      <sheetName val="Capex Breakup 1Q17 "/>
      <sheetName val="PurchasePPE4Q16"/>
      <sheetName val="Other Investment4Q16"/>
      <sheetName val="DisposalPPE4Q16"/>
      <sheetName val="Purchase Intang4Q16"/>
      <sheetName val="Capex Breakup 4Q16 "/>
      <sheetName val="Disposal Intan4Q16"/>
      <sheetName val="PurchasePPE3Q16"/>
      <sheetName val="Other Investment3Q16"/>
      <sheetName val="Disposal Intan3Q16"/>
      <sheetName val="DisposalPPE3Q16"/>
      <sheetName val="Purchase Intang3Q16"/>
      <sheetName val="Capex Breakup 3Q16 "/>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 val="CF 4Q17"/>
    </sheetNames>
    <sheetDataSet>
      <sheetData sheetId="0"/>
      <sheetData sheetId="1"/>
      <sheetData sheetId="2"/>
      <sheetData sheetId="3"/>
      <sheetData sheetId="4"/>
      <sheetData sheetId="5"/>
      <sheetData sheetId="6"/>
      <sheetData sheetId="7"/>
      <sheetData sheetId="8"/>
      <sheetData sheetId="9">
        <row r="357">
          <cell r="D357">
            <v>-123.60907619756777</v>
          </cell>
        </row>
      </sheetData>
      <sheetData sheetId="10"/>
      <sheetData sheetId="11">
        <row r="88">
          <cell r="AE88">
            <v>9.0207799346307862</v>
          </cell>
        </row>
      </sheetData>
      <sheetData sheetId="12">
        <row r="74">
          <cell r="E74">
            <v>31154.175915716085</v>
          </cell>
        </row>
        <row r="75">
          <cell r="E75">
            <v>-24447.269108532979</v>
          </cell>
        </row>
        <row r="76">
          <cell r="E76">
            <v>-1762.3790755117247</v>
          </cell>
        </row>
        <row r="77">
          <cell r="E77">
            <v>-3414.75620202153</v>
          </cell>
        </row>
        <row r="79">
          <cell r="E79">
            <v>-4336.1131699571943</v>
          </cell>
        </row>
        <row r="80">
          <cell r="E80">
            <v>-2247.3664181435138</v>
          </cell>
        </row>
        <row r="81">
          <cell r="E81">
            <v>-5233.1987249969698</v>
          </cell>
        </row>
        <row r="82">
          <cell r="B82">
            <v>19.176237347908021</v>
          </cell>
          <cell r="E82">
            <v>15504.14671434039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Financials in THB"/>
      <sheetName val="Historical Financials in USD"/>
      <sheetName val="Net Debt Equity Bridge"/>
      <sheetName val="Segment Analysis in THB"/>
      <sheetName val="Segments Analysis in USD"/>
      <sheetName val="IVL Industry Margins"/>
      <sheetName val="Industry Demand Supply"/>
      <sheetName val="History of IVL M&amp;A since 2008"/>
      <sheetName val="Installed Capacities"/>
      <sheetName val="IVL Debts &amp; Glossary of terms"/>
      <sheetName val="IVL Shareholding Structure"/>
      <sheetName val="Logo"/>
    </sheetNames>
    <sheetDataSet>
      <sheetData sheetId="0"/>
      <sheetData sheetId="1"/>
      <sheetData sheetId="2"/>
      <sheetData sheetId="3"/>
      <sheetData sheetId="4"/>
      <sheetData sheetId="5"/>
      <sheetData sheetId="6"/>
      <sheetData sheetId="7"/>
      <sheetData sheetId="8">
        <row r="39">
          <cell r="H39">
            <v>10470.313663308316</v>
          </cell>
          <cell r="I39">
            <v>10664.965558165966</v>
          </cell>
        </row>
      </sheetData>
      <sheetData sheetId="9"/>
      <sheetData sheetId="10"/>
      <sheetData sheetId="1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NTFS"/>
      <sheetName val="Summary HFM"/>
      <sheetName val="Both Segments"/>
      <sheetName val="Summary New"/>
      <sheetName val="CF1Q18"/>
      <sheetName val="CF3Q17"/>
      <sheetName val="CF4Q17"/>
      <sheetName val="DisposalPPE1Q18"/>
      <sheetName val="MD&amp;A(1Q18) "/>
      <sheetName val="MD&amp;A(4Q17)"/>
      <sheetName val="NWC on acq THB"/>
      <sheetName val="MD&amp;A (3Q17)  "/>
      <sheetName val="PurchasePPE1Q18"/>
      <sheetName val="Disposal Intan1Q18"/>
      <sheetName val="Other Investment1Q18"/>
      <sheetName val="Purchase Intang1Q18"/>
      <sheetName val="CF 1Q17"/>
      <sheetName val="CF 4Q16"/>
      <sheetName val="CFF 3Q16"/>
      <sheetName val="CF 2Q17"/>
      <sheetName val="MD&amp;A (2Q17) "/>
      <sheetName val="MD&amp;A (1Q17) "/>
      <sheetName val="Acquisition4Q17"/>
      <sheetName val="MD&amp;A (4Q16) "/>
      <sheetName val="Other Investment4Q17"/>
      <sheetName val="Other Investment3Q17"/>
      <sheetName val="DisposalPPE4Q17"/>
      <sheetName val="Disposal Intan4Q17"/>
      <sheetName val="NWC on acq USD"/>
      <sheetName val="WBRFQ4"/>
      <sheetName val="GLLVQ4"/>
      <sheetName val="DuraFiberQ4"/>
      <sheetName val="GlanzstoffQ4"/>
      <sheetName val="IVPPTAUTLQ4"/>
      <sheetName val="Acquisition3Q17"/>
      <sheetName val="GlanzstoffQ3"/>
      <sheetName val="GlanzstoffQ2"/>
      <sheetName val="PurchasePPE4Q17"/>
      <sheetName val="Purchase Intang4Q17"/>
      <sheetName val="MD&amp;A (3Q16) New"/>
      <sheetName val="Capex Breakup 1Q18"/>
      <sheetName val="Capex Breakup 4Q17"/>
      <sheetName val="Capex Breakup 3Q17"/>
      <sheetName val="Disposal Intan3Q17"/>
      <sheetName val="DisposalPPE3Q17"/>
      <sheetName val="PurchasePPE3Q17"/>
      <sheetName val="Purchase Intang3Q17"/>
      <sheetName val="PurchasePPE2Q17"/>
      <sheetName val="Other Investment2Q17"/>
      <sheetName val="DisposalPPE2Q17"/>
      <sheetName val="Acquisition2Q17"/>
      <sheetName val="Acquisition3Q16"/>
      <sheetName val="Acquisition1Q15"/>
      <sheetName val="Acquisition4Q16"/>
      <sheetName val="Acquisition2Q16"/>
      <sheetName val="Acquisition4Q15"/>
      <sheetName val="Acquisition3Q15"/>
      <sheetName val="Acquisition2Q15"/>
      <sheetName val="MD&amp;A (2Q16)"/>
      <sheetName val="MD&amp;A (3Q16) "/>
      <sheetName val="MD&amp;A"/>
      <sheetName val="DuraFiberQ3"/>
      <sheetName val="Disposal Intan2Q17"/>
      <sheetName val="Purchase Intang2Q17"/>
      <sheetName val="Capex Breakup 2Q17 "/>
      <sheetName val="PurchasePPE1Q17"/>
      <sheetName val="DisposalPPE1Q17"/>
      <sheetName val="Other Investment1Q17"/>
      <sheetName val="Purchase Intang1Q17"/>
      <sheetName val="Capex Breakup 1Q17 "/>
      <sheetName val="PurchasePPE4Q16"/>
      <sheetName val="Other Investment4Q16"/>
      <sheetName val="DisposalPPE4Q16"/>
      <sheetName val="Purchase Intang4Q16"/>
      <sheetName val="Capex Breakup 4Q16 "/>
      <sheetName val="Disposal Intan4Q16"/>
      <sheetName val="PurchasePPE3Q16"/>
      <sheetName val="Other Investment3Q16"/>
      <sheetName val="Disposal Intan3Q16"/>
      <sheetName val="DisposalPPE3Q16"/>
      <sheetName val="Purchase Intang3Q16"/>
      <sheetName val="Capex Breakup 3Q16 "/>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s>
    <sheetDataSet>
      <sheetData sheetId="0"/>
      <sheetData sheetId="1"/>
      <sheetData sheetId="2"/>
      <sheetData sheetId="3"/>
      <sheetData sheetId="4"/>
      <sheetData sheetId="5"/>
      <sheetData sheetId="6"/>
      <sheetData sheetId="7"/>
      <sheetData sheetId="8"/>
      <sheetData sheetId="9"/>
      <sheetData sheetId="10">
        <row r="24">
          <cell r="E24">
            <v>-2305.2970151575605</v>
          </cell>
          <cell r="F24">
            <v>-1387.3146413641477</v>
          </cell>
        </row>
        <row r="33">
          <cell r="E33">
            <v>-1762.3790755117247</v>
          </cell>
        </row>
        <row r="34">
          <cell r="E34">
            <v>-3276.2638927726889</v>
          </cell>
          <cell r="F34">
            <v>-3023.8824524484148</v>
          </cell>
        </row>
        <row r="35">
          <cell r="E35">
            <v>-4304.7953296036549</v>
          </cell>
          <cell r="F35">
            <v>-4472.6932582799236</v>
          </cell>
        </row>
        <row r="37">
          <cell r="E37">
            <v>22651.145131859168</v>
          </cell>
          <cell r="F37">
            <v>1.2895901252202988</v>
          </cell>
        </row>
        <row r="74">
          <cell r="B74">
            <v>7845.76865011669</v>
          </cell>
          <cell r="E74">
            <v>31077.64571904008</v>
          </cell>
          <cell r="F74">
            <v>29095.748403710655</v>
          </cell>
        </row>
        <row r="75">
          <cell r="B75">
            <v>-3748.3762666324274</v>
          </cell>
          <cell r="E75">
            <v>-24116.601792994858</v>
          </cell>
          <cell r="F75">
            <v>-17160.19745020588</v>
          </cell>
        </row>
        <row r="76">
          <cell r="B76">
            <v>0</v>
          </cell>
          <cell r="F76">
            <v>-3414.1231399750013</v>
          </cell>
        </row>
        <row r="77">
          <cell r="B77">
            <v>-704.35098363539271</v>
          </cell>
        </row>
        <row r="79">
          <cell r="B79">
            <v>-715.32407237726125</v>
          </cell>
        </row>
        <row r="80">
          <cell r="B80">
            <v>-253.19950654594393</v>
          </cell>
        </row>
        <row r="81">
          <cell r="B81">
            <v>-267.22333944341</v>
          </cell>
          <cell r="E81">
            <v>-5235.7638582119707</v>
          </cell>
          <cell r="F81">
            <v>-4035.8820941976096</v>
          </cell>
        </row>
        <row r="82">
          <cell r="B82">
            <v>7148.2880076440033</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Summary HFM"/>
      <sheetName val="Summary New"/>
      <sheetName val="maint capex-poly"/>
      <sheetName val="Financials"/>
      <sheetName val="CFFS1Q"/>
      <sheetName val="MD&amp;A"/>
      <sheetName val="CFFS 1Q15"/>
      <sheetName val="CFFS 4Q14"/>
      <sheetName val="CFFS 3Q14"/>
      <sheetName val="CFFS 2Q14"/>
      <sheetName val="Detail_1Q14"/>
      <sheetName val="Purchase 1Q"/>
      <sheetName val="Both Segments"/>
      <sheetName val="Sheet4"/>
      <sheetName val="Sheet5"/>
      <sheetName val="Sheet2"/>
      <sheetName val="Acquisition4Q14"/>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Purchase Intan"/>
      <sheetName val="Purchase PPE"/>
      <sheetName val="Disposal PPE"/>
      <sheetName val="Investments"/>
      <sheetName val="Investments (2)"/>
    </sheetNames>
    <sheetDataSet>
      <sheetData sheetId="0"/>
      <sheetData sheetId="1"/>
      <sheetData sheetId="2"/>
      <sheetData sheetId="3"/>
      <sheetData sheetId="4"/>
      <sheetData sheetId="5"/>
      <sheetData sheetId="6">
        <row r="4">
          <cell r="E4">
            <v>156.59173724427268</v>
          </cell>
        </row>
        <row r="5">
          <cell r="C5">
            <v>-14.420984203093237</v>
          </cell>
        </row>
        <row r="7">
          <cell r="C7">
            <v>4751.1794964919754</v>
          </cell>
        </row>
        <row r="10">
          <cell r="C10">
            <v>-1756.7654058881856</v>
          </cell>
        </row>
        <row r="11">
          <cell r="B11">
            <v>-378.00171748960531</v>
          </cell>
          <cell r="C11">
            <v>-286.34781533024716</v>
          </cell>
        </row>
        <row r="12">
          <cell r="B12">
            <v>-473.46302911220334</v>
          </cell>
          <cell r="C12">
            <v>-585.90263397488707</v>
          </cell>
        </row>
        <row r="13">
          <cell r="B13">
            <v>-54.273124997929933</v>
          </cell>
          <cell r="C13">
            <v>-0.93437512403702738</v>
          </cell>
        </row>
        <row r="14">
          <cell r="B14">
            <v>-264.65753424657538</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Summary HFM"/>
      <sheetName val="Summary New"/>
      <sheetName val="maint capex-poly"/>
      <sheetName val="Financials"/>
      <sheetName val="CFFS1Q"/>
      <sheetName val="MD&amp;A"/>
      <sheetName val="MD&amp;A R"/>
      <sheetName val="CF2Q15_R"/>
      <sheetName val="CFFS 2Q15"/>
      <sheetName val="CFFS 1Q15"/>
      <sheetName val="CFFS 4Q14"/>
      <sheetName val="CFFS 3Q14"/>
      <sheetName val="CFFS 2Q14"/>
      <sheetName val="Detail_1Q14"/>
      <sheetName val="Purchase 1Q"/>
      <sheetName val="Both Segments"/>
      <sheetName val="Capex Breakup"/>
      <sheetName val="Sheet4"/>
      <sheetName val="Sheet5"/>
      <sheetName val="Sheet2"/>
      <sheetName val="Purchase PPE"/>
      <sheetName val="Other Investment"/>
      <sheetName val="Acquisition2Q15"/>
      <sheetName val="Disposal PPE "/>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 val="Disposal Intan"/>
    </sheetNames>
    <sheetDataSet>
      <sheetData sheetId="0"/>
      <sheetData sheetId="1">
        <row r="357">
          <cell r="D357">
            <v>140.67969862829278</v>
          </cell>
        </row>
      </sheetData>
      <sheetData sheetId="2">
        <row r="112">
          <cell r="E112">
            <v>10.487996183290941</v>
          </cell>
        </row>
      </sheetData>
      <sheetData sheetId="3"/>
      <sheetData sheetId="4"/>
      <sheetData sheetId="5"/>
      <sheetData sheetId="6">
        <row r="4">
          <cell r="E4">
            <v>330.52903525572049</v>
          </cell>
        </row>
        <row r="5">
          <cell r="B5">
            <v>-251.02826794716401</v>
          </cell>
          <cell r="C5">
            <v>-160.42828324002988</v>
          </cell>
        </row>
        <row r="7">
          <cell r="C7">
            <v>12938.674585479144</v>
          </cell>
        </row>
        <row r="10">
          <cell r="C10">
            <v>-6862.5680255340112</v>
          </cell>
        </row>
        <row r="11">
          <cell r="B11">
            <v>-727.22900531562846</v>
          </cell>
          <cell r="C11">
            <v>-697.65174700930254</v>
          </cell>
        </row>
        <row r="12">
          <cell r="B12">
            <v>-1635.0843486006959</v>
          </cell>
          <cell r="C12">
            <v>-1757.1461467842228</v>
          </cell>
        </row>
        <row r="13">
          <cell r="B13">
            <v>-969.00186071606004</v>
          </cell>
          <cell r="C13">
            <v>-733.13726439675997</v>
          </cell>
        </row>
        <row r="14">
          <cell r="B14">
            <v>-520.68493150684935</v>
          </cell>
        </row>
      </sheetData>
      <sheetData sheetId="7">
        <row r="8">
          <cell r="B8">
            <v>-18678.652994684369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Summary HFM"/>
      <sheetName val="Summary New"/>
      <sheetName val="CFF 1Q16"/>
      <sheetName val="MD&amp;A"/>
      <sheetName val="Both Segments"/>
      <sheetName val="Other Investment1Q16"/>
      <sheetName val="DisposalPPE1Q16"/>
      <sheetName val="PurchasePPE1Q16"/>
      <sheetName val="Purchase Intang1Q16"/>
      <sheetName val="maint capex-poly"/>
      <sheetName val="Financials"/>
      <sheetName val="Capex Breakup 1Q16 "/>
      <sheetName val="Acquisition1Q16"/>
      <sheetName val="CFF 4Q15"/>
      <sheetName val="Capex Breakup 4Q15 "/>
      <sheetName val="DisposalPPE4Q15"/>
      <sheetName val="PurchasePPE4Q15"/>
      <sheetName val="Acquisition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 val="Reconcile"/>
      <sheetName val="Sheet8"/>
    </sheetNames>
    <sheetDataSet>
      <sheetData sheetId="0"/>
      <sheetData sheetId="1">
        <row r="357">
          <cell r="D357">
            <v>19.038683307275914</v>
          </cell>
        </row>
      </sheetData>
      <sheetData sheetId="2">
        <row r="121">
          <cell r="E121">
            <v>17.779404136217636</v>
          </cell>
        </row>
      </sheetData>
      <sheetData sheetId="3"/>
      <sheetData sheetId="4">
        <row r="5">
          <cell r="E5">
            <v>-1.9858459313101386</v>
          </cell>
        </row>
        <row r="25">
          <cell r="D25">
            <v>9011.9463632585175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Summary HFM"/>
      <sheetName val="Summary New"/>
      <sheetName val="CFF 2Q16"/>
      <sheetName val="MD&amp;A (2Q16)"/>
      <sheetName val="Both Segments"/>
      <sheetName val="DisposalPPE1Q16"/>
      <sheetName val="MD&amp;A"/>
      <sheetName val="DisposalPPE2Q16"/>
      <sheetName val="Capex Breakup 2Q16 "/>
      <sheetName val="Other Investment2Q16"/>
      <sheetName val="Acquisition2Q16"/>
      <sheetName val="PurchasePPE2Q16"/>
      <sheetName val="Purchase Intang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Acquisition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 val="Reconcile"/>
      <sheetName val="Sheet8"/>
    </sheetNames>
    <sheetDataSet>
      <sheetData sheetId="0"/>
      <sheetData sheetId="1"/>
      <sheetData sheetId="2">
        <row r="357">
          <cell r="D357">
            <v>-98.76296347771779</v>
          </cell>
        </row>
      </sheetData>
      <sheetData sheetId="3">
        <row r="133">
          <cell r="E133">
            <v>0</v>
          </cell>
        </row>
      </sheetData>
      <sheetData sheetId="4"/>
      <sheetData sheetId="5">
        <row r="23">
          <cell r="B23">
            <v>-497.29993859764818</v>
          </cell>
        </row>
        <row r="25">
          <cell r="B25">
            <v>3709.4802396298733</v>
          </cell>
          <cell r="I25">
            <v>6270.7956367414827</v>
          </cell>
        </row>
        <row r="30">
          <cell r="B30">
            <v>-9858.5115886355507</v>
          </cell>
          <cell r="I30">
            <v>-17991.718264616164</v>
          </cell>
        </row>
        <row r="31">
          <cell r="B31">
            <v>-611.17129147923163</v>
          </cell>
        </row>
        <row r="32">
          <cell r="B32">
            <v>-1437.3941748067132</v>
          </cell>
        </row>
        <row r="33">
          <cell r="B33">
            <v>-1494.8659742769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Summary HFM"/>
      <sheetName val="Summary New"/>
      <sheetName val="CFF 3Q16"/>
      <sheetName val="MD&amp;A (3Q16) New"/>
      <sheetName val="MD&amp;A (3Q16) "/>
      <sheetName val="MD&amp;A (2Q16)"/>
      <sheetName val="Both Segments"/>
      <sheetName val="NWC on acq USD"/>
      <sheetName val="NWC on acq THB"/>
      <sheetName val="PurchasePPE3Q16"/>
      <sheetName val="Other Investment3Q16"/>
      <sheetName val="Disposal Intan3Q16"/>
      <sheetName val="DisposalPPE3Q16"/>
      <sheetName val="Purchase Intang3Q16"/>
      <sheetName val="Acquisition3Q16"/>
      <sheetName val="Capex Breakup 3Q16 "/>
      <sheetName val="Acquisition2Q16"/>
      <sheetName val="CFF 2Q16"/>
      <sheetName val="MD&amp;A"/>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Acquisition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 val="Reconcile"/>
      <sheetName val="Sheet8"/>
    </sheetNames>
    <sheetDataSet>
      <sheetData sheetId="0"/>
      <sheetData sheetId="1"/>
      <sheetData sheetId="2">
        <row r="357">
          <cell r="D357">
            <v>-11.731689900298566</v>
          </cell>
        </row>
      </sheetData>
      <sheetData sheetId="3">
        <row r="142">
          <cell r="E142">
            <v>19.005862274251385</v>
          </cell>
        </row>
      </sheetData>
      <sheetData sheetId="4">
        <row r="45">
          <cell r="S45">
            <v>-365374.3147719744</v>
          </cell>
          <cell r="T45">
            <v>-633769.90956883039</v>
          </cell>
        </row>
      </sheetData>
      <sheetData sheetId="5">
        <row r="2">
          <cell r="I2">
            <v>35.255600000000001</v>
          </cell>
        </row>
        <row r="36">
          <cell r="B36">
            <v>-1708.9436457074003</v>
          </cell>
        </row>
      </sheetData>
      <sheetData sheetId="6">
        <row r="24">
          <cell r="B24">
            <v>-79.971589549935345</v>
          </cell>
        </row>
        <row r="26">
          <cell r="B26">
            <v>10426.411204406184</v>
          </cell>
          <cell r="D26">
            <v>2721.5540023357516</v>
          </cell>
        </row>
        <row r="31">
          <cell r="B31">
            <v>-3101.6366575140755</v>
          </cell>
        </row>
        <row r="32">
          <cell r="B32">
            <v>-662.33559032559333</v>
          </cell>
        </row>
        <row r="33">
          <cell r="B33">
            <v>-887.77675520896435</v>
          </cell>
          <cell r="D33">
            <v>-685.18522365633999</v>
          </cell>
        </row>
      </sheetData>
      <sheetData sheetId="7">
        <row r="30">
          <cell r="C30">
            <v>-17807.195801022426</v>
          </cell>
        </row>
      </sheetData>
      <sheetData sheetId="8"/>
      <sheetData sheetId="9">
        <row r="31">
          <cell r="E31">
            <v>-14.275384747896855</v>
          </cell>
        </row>
      </sheetData>
      <sheetData sheetId="10">
        <row r="31">
          <cell r="E31">
            <v>-494.30946505000003</v>
          </cell>
          <cell r="F31">
            <v>3917.1365836150007</v>
          </cell>
          <cell r="G31">
            <v>4497.0823289975997</v>
          </cell>
          <cell r="H31">
            <v>348.58005448904498</v>
          </cell>
          <cell r="I31">
            <v>0</v>
          </cell>
          <cell r="J31">
            <v>5414.962426666687</v>
          </cell>
          <cell r="K31">
            <v>14.299623337371051</v>
          </cell>
          <cell r="L31">
            <v>0</v>
          </cell>
          <cell r="M31">
            <v>0</v>
          </cell>
          <cell r="N31">
            <v>3840.8357991790895</v>
          </cell>
          <cell r="O31">
            <v>0</v>
          </cell>
          <cell r="P31">
            <v>0</v>
          </cell>
          <cell r="Q31">
            <v>0</v>
          </cell>
          <cell r="R31">
            <v>76.712000000000003</v>
          </cell>
          <cell r="S31">
            <v>0</v>
          </cell>
          <cell r="T31">
            <v>0</v>
          </cell>
          <cell r="U31">
            <v>65.837999999999994</v>
          </cell>
          <cell r="V31">
            <v>2225.04</v>
          </cell>
          <cell r="W31">
            <v>519.70067999999992</v>
          </cell>
          <cell r="X31">
            <v>1618.7170000000001</v>
          </cell>
          <cell r="Y31">
            <v>1015.9282499999999</v>
          </cell>
          <cell r="Z31">
            <v>0</v>
          </cell>
          <cell r="AA31">
            <v>7604.8249999999998</v>
          </cell>
          <cell r="AB31">
            <v>0</v>
          </cell>
          <cell r="AC31">
            <v>293.79399999999998</v>
          </cell>
          <cell r="AD31">
            <v>85.227000000000004</v>
          </cell>
          <cell r="AE31">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Summary HFM"/>
      <sheetName val="Summary New"/>
      <sheetName val="CFF 1Q16"/>
      <sheetName val="MD&amp;A"/>
      <sheetName val="Both Segments"/>
      <sheetName val="Other Investment1Q16"/>
      <sheetName val="DisposalPPE1Q16"/>
      <sheetName val="PurchasePPE1Q16"/>
      <sheetName val="Purchase Intang1Q16"/>
      <sheetName val="maint capex-poly"/>
      <sheetName val="Financials"/>
      <sheetName val="Capex Breakup 1Q16 "/>
      <sheetName val="Acquisition1Q16"/>
      <sheetName val="CFF 4Q15"/>
      <sheetName val="Capex Breakup 4Q15 "/>
      <sheetName val="DisposalPPE4Q15"/>
      <sheetName val="PurchasePPE4Q15"/>
      <sheetName val="Acquisition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 val="Reconcile"/>
      <sheetName val="Sheet8"/>
    </sheetNames>
    <sheetDataSet>
      <sheetData sheetId="0" refreshError="1"/>
      <sheetData sheetId="1" refreshError="1"/>
      <sheetData sheetId="2" refreshError="1"/>
      <sheetData sheetId="3" refreshError="1"/>
      <sheetData sheetId="4" refreshError="1">
        <row r="13">
          <cell r="E13">
            <v>-19.778516689280806</v>
          </cell>
        </row>
        <row r="23">
          <cell r="B23">
            <v>-70.789449913412511</v>
          </cell>
          <cell r="D23">
            <v>-24.563276843921713</v>
          </cell>
        </row>
        <row r="25">
          <cell r="B25">
            <v>4964.7705398755379</v>
          </cell>
        </row>
        <row r="30">
          <cell r="B30">
            <v>-17807.195801022426</v>
          </cell>
          <cell r="D30">
            <v>-3001.6816773954306</v>
          </cell>
        </row>
        <row r="31">
          <cell r="B31">
            <v>-633.78241924375004</v>
          </cell>
        </row>
        <row r="32">
          <cell r="B32">
            <v>-705.04478442279299</v>
          </cell>
        </row>
        <row r="33">
          <cell r="B33">
            <v>-264.65784217999999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Summary HFM"/>
      <sheetName val="CF 1Q17"/>
      <sheetName val="CF 4Q16"/>
      <sheetName val="Both Segments"/>
      <sheetName val="Summary New"/>
      <sheetName val="MD&amp;A (1Q17) "/>
      <sheetName val="PurchasePPE1Q17"/>
      <sheetName val="Other Investment1Q17"/>
      <sheetName val="DisposalPPE1Q17"/>
      <sheetName val="Purchase Intang1Q17"/>
      <sheetName val="Capex Breakup 1Q17 "/>
      <sheetName val="MD&amp;A (4Q16) "/>
      <sheetName val="NWC on acq THB"/>
      <sheetName val="NWC on acq USD"/>
      <sheetName val="MD&amp;A (3Q16) New"/>
      <sheetName val="MD&amp;A (2Q16)"/>
      <sheetName val="MD&amp;A (3Q16) "/>
      <sheetName val="MD&amp;A"/>
      <sheetName val="CFF 3Q16"/>
      <sheetName val="PurchasePPE4Q16"/>
      <sheetName val="Other Investment4Q16"/>
      <sheetName val="DisposalPPE4Q16"/>
      <sheetName val="Acquisition4Q16"/>
      <sheetName val="Purchase Intang4Q16"/>
      <sheetName val="Capex Breakup 4Q16 "/>
      <sheetName val="Disposal Intan4Q16"/>
      <sheetName val="PurchasePPE3Q16"/>
      <sheetName val="Other Investment3Q16"/>
      <sheetName val="Disposal Intan3Q16"/>
      <sheetName val="DisposalPPE3Q16"/>
      <sheetName val="Purchase Intang3Q16"/>
      <sheetName val="Acquisition3Q16"/>
      <sheetName val="Capex Breakup 3Q16 "/>
      <sheetName val="Acquisition2Q16"/>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Acquisition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s>
    <sheetDataSet>
      <sheetData sheetId="0"/>
      <sheetData sheetId="1"/>
      <sheetData sheetId="2">
        <row r="357">
          <cell r="D357">
            <v>-31.335134675302744</v>
          </cell>
        </row>
      </sheetData>
      <sheetData sheetId="3"/>
      <sheetData sheetId="4"/>
      <sheetData sheetId="5"/>
      <sheetData sheetId="6">
        <row r="142">
          <cell r="E142">
            <v>24.008525405464411</v>
          </cell>
        </row>
      </sheetData>
      <sheetData sheetId="7">
        <row r="29">
          <cell r="B29">
            <v>-4079.0435821705491</v>
          </cell>
        </row>
        <row r="74">
          <cell r="B74">
            <v>7922.298846792688</v>
          </cell>
        </row>
        <row r="75">
          <cell r="B75">
            <v>-4079.0435821705491</v>
          </cell>
        </row>
        <row r="76">
          <cell r="B76">
            <v>0</v>
          </cell>
        </row>
        <row r="77">
          <cell r="B77">
            <v>-842.84329288423362</v>
          </cell>
        </row>
        <row r="79">
          <cell r="B79">
            <v>-746.64191273080041</v>
          </cell>
        </row>
        <row r="80">
          <cell r="B80">
            <v>-195.26890953189684</v>
          </cell>
        </row>
        <row r="81">
          <cell r="B81">
            <v>-264.65820622841005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CF 2Q17"/>
      <sheetName val="CF 1Q17"/>
      <sheetName val="CF 4Q16"/>
      <sheetName val="Summary New"/>
      <sheetName val="Summary HFM"/>
      <sheetName val="Other Investment2Q17"/>
      <sheetName val="DisposalPPE2Q17"/>
      <sheetName val="MD&amp;A (2Q17) "/>
      <sheetName val="MD&amp;A (1Q17) "/>
      <sheetName val="MD&amp;A (4Q16) "/>
      <sheetName val="MD&amp;A (3Q16) New"/>
      <sheetName val="Acquisition1Q15"/>
      <sheetName val="Acquisition2Q17"/>
      <sheetName val="Acquisition3Q16"/>
      <sheetName val="Acquisition4Q16"/>
      <sheetName val="Acquisition2Q16"/>
      <sheetName val="Acquisition4Q15"/>
      <sheetName val="Acquisition3Q15"/>
      <sheetName val="Acquisition2Q15"/>
      <sheetName val="Both Segments"/>
      <sheetName val="NWC on acq THB"/>
      <sheetName val="NWC on acq USD"/>
      <sheetName val="MD&amp;A (2Q16)"/>
      <sheetName val="MD&amp;A"/>
      <sheetName val="Glanzstoff"/>
      <sheetName val="PurchasePPE2Q17"/>
      <sheetName val="Disposal Intan2Q17"/>
      <sheetName val="Purchase Intang2Q17"/>
      <sheetName val="Capex Breakup 2Q17 "/>
      <sheetName val="PurchasePPE1Q17"/>
      <sheetName val="DisposalPPE1Q17"/>
      <sheetName val="Other Investment1Q17"/>
      <sheetName val="Purchase Intang1Q17"/>
      <sheetName val="Capex Breakup 1Q17 "/>
      <sheetName val="MD&amp;A (3Q16) "/>
      <sheetName val="CFF 3Q16"/>
      <sheetName val="PurchasePPE4Q16"/>
      <sheetName val="Other Investment4Q16"/>
      <sheetName val="DisposalPPE4Q16"/>
      <sheetName val="Purchase Intang4Q16"/>
      <sheetName val="Capex Breakup 4Q16 "/>
      <sheetName val="Disposal Intan4Q16"/>
      <sheetName val="PurchasePPE3Q16"/>
      <sheetName val="Other Investment3Q16"/>
      <sheetName val="Disposal Intan3Q16"/>
      <sheetName val="DisposalPPE3Q16"/>
      <sheetName val="Purchase Intang3Q16"/>
      <sheetName val="Capex Breakup 3Q16 "/>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 val="Sheet1"/>
    </sheetNames>
    <sheetDataSet>
      <sheetData sheetId="0"/>
      <sheetData sheetId="1"/>
      <sheetData sheetId="2">
        <row r="45">
          <cell r="D45">
            <v>-745665</v>
          </cell>
        </row>
      </sheetData>
      <sheetData sheetId="3">
        <row r="45">
          <cell r="E45">
            <v>-195269</v>
          </cell>
        </row>
      </sheetData>
      <sheetData sheetId="4"/>
      <sheetData sheetId="5">
        <row r="144">
          <cell r="E144">
            <v>22.033993434196674</v>
          </cell>
        </row>
      </sheetData>
      <sheetData sheetId="6">
        <row r="357">
          <cell r="D357">
            <v>10.206245226190534</v>
          </cell>
        </row>
      </sheetData>
      <sheetData sheetId="7"/>
      <sheetData sheetId="8"/>
      <sheetData sheetId="9">
        <row r="74">
          <cell r="B74">
            <v>8853.0704911377034</v>
          </cell>
        </row>
        <row r="75">
          <cell r="B75">
            <v>-10346.375907517868</v>
          </cell>
        </row>
        <row r="76">
          <cell r="B76">
            <v>-1013.4325156803286</v>
          </cell>
        </row>
        <row r="77">
          <cell r="B77">
            <v>-754.9656341566407</v>
          </cell>
        </row>
        <row r="79">
          <cell r="B79">
            <v>-1465.2380991933705</v>
          </cell>
        </row>
        <row r="80">
          <cell r="B80">
            <v>-615.42427960139798</v>
          </cell>
        </row>
        <row r="81">
          <cell r="B81">
            <v>-2051.6007083867798</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CF 1Q17"/>
      <sheetName val="CF 4Q16"/>
      <sheetName val="CF3Q17"/>
      <sheetName val="CFF 3Q16"/>
      <sheetName val="CF 2Q17"/>
      <sheetName val="Summary New"/>
      <sheetName val="Summary HFM"/>
      <sheetName val="Both Segments"/>
      <sheetName val="MD&amp;A (3Q17)  "/>
      <sheetName val="MD&amp;A (2Q17) "/>
      <sheetName val="Capex Breakup 3Q17"/>
      <sheetName val="NWC on acq THB"/>
      <sheetName val="NWC on acq USD"/>
      <sheetName val="Disposal Intan3Q17"/>
      <sheetName val="DisposalPPE3Q17"/>
      <sheetName val="Other Investment3Q17"/>
      <sheetName val="Purchase Intang3Q17"/>
      <sheetName val="PurchasePPE3Q17"/>
      <sheetName val="PurchasePPE2Q17"/>
      <sheetName val="Other Investment2Q17"/>
      <sheetName val="DisposalPPE2Q17"/>
      <sheetName val="MD&amp;A (3Q16) New"/>
      <sheetName val="MD&amp;A (4Q16) "/>
      <sheetName val="MD&amp;A (1Q17) "/>
      <sheetName val="Acquisition3Q17"/>
      <sheetName val="Acquisition2Q17"/>
      <sheetName val="Acquisition3Q16"/>
      <sheetName val="Acquisition1Q15"/>
      <sheetName val="Acquisition4Q16"/>
      <sheetName val="Acquisition2Q16"/>
      <sheetName val="Acquisition4Q15"/>
      <sheetName val="Acquisition3Q15"/>
      <sheetName val="Acquisition2Q15"/>
      <sheetName val="MD&amp;A (2Q16)"/>
      <sheetName val="MD&amp;A"/>
      <sheetName val="GlanzstoffQ2"/>
      <sheetName val="GlanzstoffQ3"/>
      <sheetName val="DuraFiberQ3"/>
      <sheetName val="Disposal Intan2Q17"/>
      <sheetName val="Purchase Intang2Q17"/>
      <sheetName val="Capex Breakup 2Q17 "/>
      <sheetName val="PurchasePPE1Q17"/>
      <sheetName val="DisposalPPE1Q17"/>
      <sheetName val="Other Investment1Q17"/>
      <sheetName val="Purchase Intang1Q17"/>
      <sheetName val="Capex Breakup 1Q17 "/>
      <sheetName val="MD&amp;A (3Q16) "/>
      <sheetName val="PurchasePPE4Q16"/>
      <sheetName val="Other Investment4Q16"/>
      <sheetName val="DisposalPPE4Q16"/>
      <sheetName val="Purchase Intang4Q16"/>
      <sheetName val="Capex Breakup 4Q16 "/>
      <sheetName val="Disposal Intan4Q16"/>
      <sheetName val="PurchasePPE3Q16"/>
      <sheetName val="Other Investment3Q16"/>
      <sheetName val="Disposal Intan3Q16"/>
      <sheetName val="DisposalPPE3Q16"/>
      <sheetName val="Purchase Intang3Q16"/>
      <sheetName val="Capex Breakup 3Q16 "/>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s>
    <sheetDataSet>
      <sheetData sheetId="0"/>
      <sheetData sheetId="1"/>
      <sheetData sheetId="2"/>
      <sheetData sheetId="3"/>
      <sheetData sheetId="4"/>
      <sheetData sheetId="5"/>
      <sheetData sheetId="6"/>
      <sheetData sheetId="7">
        <row r="83">
          <cell r="E83">
            <v>0.40907771440837243</v>
          </cell>
        </row>
      </sheetData>
      <sheetData sheetId="8">
        <row r="357">
          <cell r="D357">
            <v>-101.02746136680689</v>
          </cell>
        </row>
        <row r="389">
          <cell r="F389">
            <v>1289590.1252202988</v>
          </cell>
          <cell r="G389">
            <v>0</v>
          </cell>
          <cell r="I389">
            <v>0</v>
          </cell>
          <cell r="J389">
            <v>0</v>
          </cell>
          <cell r="K389">
            <v>535314.46576118469</v>
          </cell>
          <cell r="L389">
            <v>533872.49353122711</v>
          </cell>
          <cell r="M389">
            <v>533879.99815177917</v>
          </cell>
          <cell r="N389">
            <v>0</v>
          </cell>
          <cell r="O389">
            <v>0</v>
          </cell>
          <cell r="S389">
            <v>0</v>
          </cell>
          <cell r="W389">
            <v>0</v>
          </cell>
        </row>
      </sheetData>
      <sheetData sheetId="9"/>
      <sheetData sheetId="10">
        <row r="74">
          <cell r="B74">
            <v>5974.5540941358277</v>
          </cell>
        </row>
        <row r="75">
          <cell r="B75">
            <v>-4239.7058018406515</v>
          </cell>
        </row>
        <row r="76">
          <cell r="B76">
            <v>-394.47622754841609</v>
          </cell>
        </row>
        <row r="77">
          <cell r="B77">
            <v>-837.60403656976848</v>
          </cell>
        </row>
        <row r="79">
          <cell r="B79">
            <v>-742.42149259471034</v>
          </cell>
        </row>
        <row r="80">
          <cell r="B80">
            <v>-367.68706568759967</v>
          </cell>
        </row>
        <row r="81">
          <cell r="B81">
            <v>-2580.6919882833095</v>
          </cell>
        </row>
        <row r="82">
          <cell r="B82">
            <v>15482.966498967029</v>
          </cell>
          <cell r="C82">
            <v>0.71438790023040777</v>
          </cell>
          <cell r="D82">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bridge"/>
      <sheetName val="Summary"/>
      <sheetName val="By company"/>
      <sheetName val="EBITDA table (VJ)"/>
      <sheetName val="Cepsa Canada PPT"/>
      <sheetName val="EBITDA Bridge"/>
      <sheetName val="Financials"/>
      <sheetName val="Exch rates"/>
      <sheetName val="NP Reconciliation"/>
      <sheetName val="Conso_table"/>
      <sheetName val="Conso THB"/>
      <sheetName val="Conso USD"/>
      <sheetName val="Restated"/>
      <sheetName val="PETwPck"/>
      <sheetName val="Poly+Wool"/>
      <sheetName val="Exchgrate"/>
      <sheetName val="Customers sales profile"/>
      <sheetName val="Feedstock"/>
      <sheetName val="By Company Data"/>
      <sheetName val="HVA_Comm"/>
      <sheetName val="By Segment"/>
      <sheetName val="By Region"/>
      <sheetName val="Workings"/>
      <sheetName val="loans to"/>
      <sheetName val="MDA table"/>
      <sheetName val="EBITDA table"/>
      <sheetName val="Sheet1"/>
    </sheetNames>
    <sheetDataSet>
      <sheetData sheetId="0"/>
      <sheetData sheetId="1"/>
      <sheetData sheetId="2"/>
      <sheetData sheetId="3"/>
      <sheetData sheetId="4">
        <row r="1178">
          <cell r="AI1178">
            <v>-30.289950914117277</v>
          </cell>
        </row>
      </sheetData>
      <sheetData sheetId="5"/>
      <sheetData sheetId="6"/>
      <sheetData sheetId="7"/>
      <sheetData sheetId="8"/>
      <sheetData sheetId="9"/>
      <sheetData sheetId="10"/>
      <sheetData sheetId="11">
        <row r="33">
          <cell r="Q33">
            <v>6818887</v>
          </cell>
          <cell r="CD33">
            <v>6281143.055737704</v>
          </cell>
          <cell r="DT33">
            <v>5098742.3</v>
          </cell>
          <cell r="DU33">
            <v>3260861.0958904112</v>
          </cell>
        </row>
      </sheetData>
      <sheetData sheetId="12"/>
      <sheetData sheetId="13">
        <row r="20">
          <cell r="BA20">
            <v>216.13967253192652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Summary HFM"/>
      <sheetName val="Summary New"/>
      <sheetName val="maint capex-poly"/>
      <sheetName val="Financials"/>
      <sheetName val="Reconcile"/>
      <sheetName val="MD&amp;A"/>
      <sheetName val="CFF 3Q15"/>
      <sheetName val="CFFS 2Q15"/>
      <sheetName val="CFFS 1Q15"/>
      <sheetName val="CFFS 4Q14"/>
      <sheetName val="CFFS 3Q14"/>
      <sheetName val="CFFS 2Q14"/>
      <sheetName val="Detail_1Q14"/>
      <sheetName val="Purchase 1Q"/>
      <sheetName val="CFFS1Q"/>
      <sheetName val="Capex Breakup"/>
      <sheetName val="Both Segments"/>
      <sheetName val="Capex Breakup 3Q15"/>
      <sheetName val="Sheet4"/>
      <sheetName val="Sheet5"/>
      <sheetName val="Sheet2"/>
      <sheetName val="Purchase PPE"/>
      <sheetName val="Disposal Intan"/>
      <sheetName val="Other Investment"/>
      <sheetName val="Disposal PPE "/>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s>
    <sheetDataSet>
      <sheetData sheetId="0"/>
      <sheetData sheetId="1">
        <row r="357">
          <cell r="D357">
            <v>88.12617877583817</v>
          </cell>
        </row>
      </sheetData>
      <sheetData sheetId="2">
        <row r="115">
          <cell r="E115">
            <v>14.839540599144454</v>
          </cell>
        </row>
      </sheetData>
      <sheetData sheetId="3"/>
      <sheetData sheetId="4"/>
      <sheetData sheetId="5"/>
      <sheetData sheetId="6">
        <row r="5">
          <cell r="B5">
            <v>-365.37431477197441</v>
          </cell>
        </row>
        <row r="10">
          <cell r="C10">
            <v>-9421.3227131927324</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Proforma sales"/>
      <sheetName val="By company"/>
      <sheetName val="PTA Asia"/>
      <sheetName val="PTA Asia (Ratio of NCE) "/>
      <sheetName val="EBITDA bridge"/>
      <sheetName val="Financials"/>
      <sheetName val="HVA INfo"/>
      <sheetName val="BS and NWC"/>
      <sheetName val="NCI"/>
      <sheetName val="MDA table"/>
      <sheetName val="Sheet2"/>
      <sheetName val="Analysis of Core EPS"/>
      <sheetName val="Analysi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Feedstock"/>
      <sheetName val="loans to"/>
    </sheetNames>
    <sheetDataSet>
      <sheetData sheetId="0"/>
      <sheetData sheetId="1"/>
      <sheetData sheetId="2"/>
      <sheetData sheetId="3"/>
      <sheetData sheetId="4">
        <row r="2">
          <cell r="R2">
            <v>31.701000000000001</v>
          </cell>
        </row>
        <row r="175">
          <cell r="AR175">
            <v>10178894.686942214</v>
          </cell>
        </row>
        <row r="345">
          <cell r="AR345">
            <v>8728926.6655100435</v>
          </cell>
        </row>
        <row r="1429">
          <cell r="R1429">
            <v>1178.6617363873224</v>
          </cell>
          <cell r="S1429">
            <v>226.96384124495512</v>
          </cell>
          <cell r="X1429">
            <v>68.794145293529354</v>
          </cell>
          <cell r="Y1429">
            <v>383.97096976161566</v>
          </cell>
          <cell r="Z1429">
            <v>-798.79865506158262</v>
          </cell>
          <cell r="AA1429">
            <v>107.76403312604293</v>
          </cell>
          <cell r="AB1429">
            <v>-338.56728157409287</v>
          </cell>
          <cell r="AC1429">
            <v>-645.6309337480169</v>
          </cell>
          <cell r="AD1429">
            <v>-581.53454601901592</v>
          </cell>
          <cell r="AE1429">
            <v>19.053366212533774</v>
          </cell>
          <cell r="AF1429">
            <v>-20.072641586151008</v>
          </cell>
          <cell r="AG1429">
            <v>-1916.4016340430078</v>
          </cell>
          <cell r="AH1429">
            <v>-2498.9554554356409</v>
          </cell>
          <cell r="AI1429">
            <v>-1068.0554522755212</v>
          </cell>
          <cell r="AJ1429">
            <v>987.54181052942863</v>
          </cell>
          <cell r="AK1429">
            <v>-1408.2314846332345</v>
          </cell>
          <cell r="AL1429">
            <v>-1063.9615327815507</v>
          </cell>
          <cell r="AM1429">
            <v>-2552.7066591608777</v>
          </cell>
          <cell r="AN1429">
            <v>-447.209968878582</v>
          </cell>
          <cell r="AO1429">
            <v>639.64516830288017</v>
          </cell>
          <cell r="AP1429">
            <v>-144.67663179274928</v>
          </cell>
          <cell r="AR1429">
            <v>261.07500481277771</v>
          </cell>
        </row>
        <row r="2322">
          <cell r="X2322">
            <v>115.94154581464539</v>
          </cell>
          <cell r="Y2322">
            <v>54.737027409069398</v>
          </cell>
          <cell r="Z2322">
            <v>-201.26483777382106</v>
          </cell>
          <cell r="AA2322">
            <v>-97.511427262966478</v>
          </cell>
          <cell r="AB2322">
            <v>-24.220103246954764</v>
          </cell>
          <cell r="AC2322">
            <v>-268.25934087467289</v>
          </cell>
          <cell r="AD2322">
            <v>-117.0512447811938</v>
          </cell>
          <cell r="AE2322">
            <v>19.940306716824125</v>
          </cell>
          <cell r="AF2322">
            <v>29.630653385480542</v>
          </cell>
          <cell r="AG2322">
            <v>-323.41115355002376</v>
          </cell>
          <cell r="AH2322">
            <v>-390.89143822891293</v>
          </cell>
          <cell r="AI2322">
            <v>-375.75253516743965</v>
          </cell>
          <cell r="AJ2322">
            <v>258.45259906219889</v>
          </cell>
          <cell r="AK2322">
            <v>-250.62671858673917</v>
          </cell>
          <cell r="AL2322">
            <v>-225.19238239170977</v>
          </cell>
          <cell r="AM2322">
            <v>-593.1190370836897</v>
          </cell>
          <cell r="AN2322">
            <v>-59.087616091598122</v>
          </cell>
          <cell r="AO2322">
            <v>134.87334143073096</v>
          </cell>
          <cell r="AP2322">
            <v>-60.815246784481374</v>
          </cell>
          <cell r="AQ2322">
            <v>41.377019202181557</v>
          </cell>
          <cell r="AR2322">
            <v>56.347497756833029</v>
          </cell>
        </row>
      </sheetData>
      <sheetData sheetId="5"/>
      <sheetData sheetId="6"/>
      <sheetData sheetId="7">
        <row r="11">
          <cell r="K11">
            <v>1626.5558577096563</v>
          </cell>
        </row>
      </sheetData>
      <sheetData sheetId="8">
        <row r="18">
          <cell r="AR18">
            <v>-4.9044275586590187</v>
          </cell>
        </row>
      </sheetData>
      <sheetData sheetId="9"/>
      <sheetData sheetId="10"/>
      <sheetData sheetId="11"/>
      <sheetData sheetId="12">
        <row r="5">
          <cell r="AG5">
            <v>8728.9266655100455</v>
          </cell>
        </row>
        <row r="44">
          <cell r="AG44">
            <v>-186.42087900479504</v>
          </cell>
        </row>
        <row r="45">
          <cell r="AG45">
            <v>6021.7989916368942</v>
          </cell>
        </row>
        <row r="46">
          <cell r="AG46">
            <v>503.63341032299786</v>
          </cell>
        </row>
      </sheetData>
      <sheetData sheetId="13"/>
      <sheetData sheetId="14"/>
      <sheetData sheetId="15"/>
      <sheetData sheetId="16">
        <row r="3">
          <cell r="G3">
            <v>8728.9266655100455</v>
          </cell>
        </row>
      </sheetData>
      <sheetData sheetId="17"/>
      <sheetData sheetId="18"/>
      <sheetData sheetId="19"/>
      <sheetData sheetId="20">
        <row r="1">
          <cell r="B1">
            <v>35.389843548387091</v>
          </cell>
        </row>
        <row r="20">
          <cell r="G20">
            <v>11061.434999999999</v>
          </cell>
        </row>
        <row r="22">
          <cell r="G22">
            <v>-173.07599999999999</v>
          </cell>
        </row>
        <row r="24">
          <cell r="G24">
            <v>124.361</v>
          </cell>
        </row>
        <row r="25">
          <cell r="G25">
            <v>4222.3209999999999</v>
          </cell>
        </row>
        <row r="27">
          <cell r="G27">
            <v>1313.491</v>
          </cell>
        </row>
        <row r="28">
          <cell r="G28">
            <v>960.61599999999999</v>
          </cell>
        </row>
        <row r="31">
          <cell r="D31">
            <v>57.918000000000006</v>
          </cell>
          <cell r="G31">
            <v>162.07599999999999</v>
          </cell>
        </row>
        <row r="33">
          <cell r="G33">
            <v>-1050</v>
          </cell>
          <cell r="H33">
            <v>-1050.0000000000002</v>
          </cell>
        </row>
        <row r="57">
          <cell r="G57">
            <v>4140.3429999999998</v>
          </cell>
        </row>
        <row r="91">
          <cell r="G91">
            <v>14874.072</v>
          </cell>
        </row>
        <row r="94">
          <cell r="G94">
            <v>2759.5569999999998</v>
          </cell>
        </row>
        <row r="95">
          <cell r="G95">
            <v>91814.931000000011</v>
          </cell>
        </row>
        <row r="101">
          <cell r="G101">
            <v>102105.549</v>
          </cell>
        </row>
        <row r="102">
          <cell r="G102">
            <v>436.68990086587758</v>
          </cell>
        </row>
        <row r="104">
          <cell r="G104">
            <v>16490.128710519584</v>
          </cell>
        </row>
      </sheetData>
      <sheetData sheetId="21"/>
      <sheetData sheetId="22"/>
      <sheetData sheetId="23">
        <row r="1">
          <cell r="B1">
            <v>35.389843548387091</v>
          </cell>
        </row>
      </sheetData>
      <sheetData sheetId="24">
        <row r="14">
          <cell r="H14">
            <v>-200819.66805112362</v>
          </cell>
        </row>
      </sheetData>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PTA Asia"/>
      <sheetName val="PTA Asia (Ratio of NCE) "/>
      <sheetName val="Asia Analysis"/>
      <sheetName val="By company"/>
      <sheetName val="EBITDA bridge"/>
      <sheetName val="Financials"/>
      <sheetName val="HVA INfo"/>
      <sheetName val="CMD 2018 Capex"/>
      <sheetName val="BS and NWC"/>
      <sheetName val="NCI"/>
      <sheetName val="Sheet2"/>
      <sheetName val="Analysis of Core EPS"/>
      <sheetName val="Analysis"/>
      <sheetName val="EBITDA table (VJ)"/>
      <sheetName val="Sheet1"/>
      <sheetName val="Exch rates"/>
      <sheetName val="Conso_table"/>
      <sheetName val="Sheet3"/>
      <sheetName val="MDA table"/>
      <sheetName val="Conso THB"/>
      <sheetName val="Restated"/>
      <sheetName val="Conso USD (2)"/>
      <sheetName val="EPS Calculation"/>
      <sheetName val="Conso USD"/>
      <sheetName val="Restate 2015"/>
      <sheetName val="PETwPck"/>
      <sheetName val="Poly+Wool"/>
      <sheetName val="Exchgrate"/>
      <sheetName val="Customers sales profile"/>
      <sheetName val="Feedstock"/>
      <sheetName val="loans to"/>
    </sheetNames>
    <sheetDataSet>
      <sheetData sheetId="0"/>
      <sheetData sheetId="1"/>
      <sheetData sheetId="2"/>
      <sheetData sheetId="3"/>
      <sheetData sheetId="4"/>
      <sheetData sheetId="5"/>
      <sheetData sheetId="6">
        <row r="2">
          <cell r="AP2">
            <v>35.255600000000001</v>
          </cell>
          <cell r="AW2">
            <v>33.933399999999999</v>
          </cell>
        </row>
        <row r="3">
          <cell r="AV3">
            <v>32.947000000000003</v>
          </cell>
        </row>
        <row r="4">
          <cell r="AW4">
            <v>32.680900000000001</v>
          </cell>
        </row>
        <row r="191">
          <cell r="AW191">
            <v>10380801.593413699</v>
          </cell>
        </row>
        <row r="377">
          <cell r="AS377">
            <v>2188137.5496729887</v>
          </cell>
          <cell r="AT377">
            <v>2222897.6203174391</v>
          </cell>
          <cell r="AU377">
            <v>2386628.5300104809</v>
          </cell>
          <cell r="AW377">
            <v>9103267.7084520292</v>
          </cell>
        </row>
        <row r="1547">
          <cell r="AW1547">
            <v>1271.2039524106096</v>
          </cell>
        </row>
        <row r="2512">
          <cell r="AW2512">
            <v>169.15565555441154</v>
          </cell>
        </row>
      </sheetData>
      <sheetData sheetId="7"/>
      <sheetData sheetId="8">
        <row r="20">
          <cell r="AV20">
            <v>0</v>
          </cell>
        </row>
      </sheetData>
      <sheetData sheetId="9"/>
      <sheetData sheetId="10"/>
      <sheetData sheetId="11"/>
      <sheetData sheetId="12"/>
      <sheetData sheetId="13"/>
      <sheetData sheetId="14"/>
      <sheetData sheetId="15"/>
      <sheetData sheetId="16"/>
      <sheetData sheetId="17"/>
      <sheetData sheetId="18"/>
      <sheetData sheetId="19">
        <row r="88">
          <cell r="G88">
            <v>763.50424512640961</v>
          </cell>
        </row>
      </sheetData>
      <sheetData sheetId="20"/>
      <sheetData sheetId="21">
        <row r="22">
          <cell r="CD22">
            <v>3866.9837954783134</v>
          </cell>
        </row>
        <row r="48">
          <cell r="CI48">
            <v>-539.68478535981205</v>
          </cell>
        </row>
        <row r="49">
          <cell r="CI49">
            <v>1380.6485665666301</v>
          </cell>
        </row>
        <row r="50">
          <cell r="CI50">
            <v>3363.73687559463</v>
          </cell>
        </row>
      </sheetData>
      <sheetData sheetId="22">
        <row r="1">
          <cell r="B1">
            <v>32.947000000000003</v>
          </cell>
        </row>
        <row r="20">
          <cell r="G20">
            <v>12108.697</v>
          </cell>
        </row>
        <row r="22">
          <cell r="G22">
            <v>28.405000000000001</v>
          </cell>
        </row>
        <row r="24">
          <cell r="G24">
            <v>102.432</v>
          </cell>
        </row>
        <row r="25">
          <cell r="G25">
            <v>3864.471</v>
          </cell>
        </row>
        <row r="27">
          <cell r="G27">
            <v>2850.4249850000001</v>
          </cell>
        </row>
        <row r="28">
          <cell r="G28">
            <v>-217.68077799999958</v>
          </cell>
        </row>
        <row r="31">
          <cell r="G31">
            <v>195.417</v>
          </cell>
        </row>
        <row r="33">
          <cell r="G33">
            <v>-1050.0000000000002</v>
          </cell>
        </row>
        <row r="36">
          <cell r="B36">
            <v>5245.2320779239126</v>
          </cell>
          <cell r="G36">
            <v>4985.1961624739724</v>
          </cell>
        </row>
        <row r="57">
          <cell r="G57">
            <v>7015.0879999999997</v>
          </cell>
        </row>
        <row r="91">
          <cell r="G91">
            <v>14874.072</v>
          </cell>
        </row>
        <row r="94">
          <cell r="G94">
            <v>1925.0409999999999</v>
          </cell>
        </row>
        <row r="95">
          <cell r="G95">
            <v>118986.692</v>
          </cell>
        </row>
        <row r="101">
          <cell r="G101">
            <v>95785.069999999992</v>
          </cell>
        </row>
        <row r="102">
          <cell r="G102">
            <v>-197.04563189092951</v>
          </cell>
        </row>
        <row r="104">
          <cell r="G104">
            <v>24952.00588455168</v>
          </cell>
        </row>
        <row r="145">
          <cell r="G145">
            <v>286332.272</v>
          </cell>
        </row>
        <row r="153">
          <cell r="G153">
            <v>34077.450168589407</v>
          </cell>
        </row>
      </sheetData>
      <sheetData sheetId="23"/>
      <sheetData sheetId="24"/>
      <sheetData sheetId="25">
        <row r="15">
          <cell r="E15">
            <v>4814293210.1777782</v>
          </cell>
        </row>
      </sheetData>
      <sheetData sheetId="26">
        <row r="1">
          <cell r="B1">
            <v>32.947000000000003</v>
          </cell>
        </row>
      </sheetData>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PTA Asia"/>
      <sheetName val="PTA Asia (Ratio of NCE) "/>
      <sheetName val="Asia Analysis"/>
      <sheetName val="By company"/>
      <sheetName val="EBITDA bridge"/>
      <sheetName val="EPS Calculation"/>
      <sheetName val="Financials"/>
      <sheetName val="HVA INfo"/>
      <sheetName val="CMD 2018 Capex"/>
      <sheetName val="BS and NWC"/>
      <sheetName val="NCI"/>
      <sheetName val="Sheet2"/>
      <sheetName val="Analysis of Core EPS"/>
      <sheetName val="Analysis"/>
      <sheetName val="Sheet1"/>
      <sheetName val="Exch rates"/>
      <sheetName val="Sheet3"/>
      <sheetName val="MDA table"/>
      <sheetName val="EBITDA table (VJ)"/>
      <sheetName val="Conso_table"/>
      <sheetName val="Restated"/>
      <sheetName val="Conso USD (2)"/>
      <sheetName val="Conso THB"/>
      <sheetName val="Conso USD"/>
      <sheetName val="Restate 2015"/>
      <sheetName val="PETwPck"/>
      <sheetName val="Poly+Wool"/>
      <sheetName val="Exchgrate"/>
      <sheetName val="Customers sales profile"/>
      <sheetName val="Feedstock"/>
      <sheetName val="loans to"/>
    </sheetNames>
    <sheetDataSet>
      <sheetData sheetId="0"/>
      <sheetData sheetId="1"/>
      <sheetData sheetId="2"/>
      <sheetData sheetId="3"/>
      <sheetData sheetId="4"/>
      <sheetData sheetId="5"/>
      <sheetData sheetId="6">
        <row r="2">
          <cell r="AX2">
            <v>31.542200000000001</v>
          </cell>
          <cell r="AY2">
            <v>33.027814754098344</v>
          </cell>
          <cell r="AZ2">
            <v>35.150209465020566</v>
          </cell>
        </row>
        <row r="4">
          <cell r="AY4">
            <v>31.2318</v>
          </cell>
          <cell r="AZ4">
            <v>34.450099999999999</v>
          </cell>
        </row>
        <row r="197">
          <cell r="AX197">
            <v>2659591.7227560258</v>
          </cell>
          <cell r="AY197">
            <v>10512218.950141344</v>
          </cell>
          <cell r="AZ197">
            <v>10502478.358931907</v>
          </cell>
        </row>
        <row r="389">
          <cell r="AX389">
            <v>2325123.5703522889</v>
          </cell>
          <cell r="AY389">
            <v>9240253.7291313298</v>
          </cell>
          <cell r="AZ389">
            <v>9152294.2951810472</v>
          </cell>
        </row>
        <row r="1592">
          <cell r="AX1592">
            <v>573.27859737901099</v>
          </cell>
          <cell r="AY1592">
            <v>503.57268368535438</v>
          </cell>
          <cell r="AZ1592">
            <v>2049.1948401485229</v>
          </cell>
        </row>
        <row r="2584">
          <cell r="AX2584">
            <v>93.583741255025458</v>
          </cell>
          <cell r="AY2584">
            <v>53.381799068401349</v>
          </cell>
          <cell r="AZ2584">
            <v>324.79291386829112</v>
          </cell>
        </row>
      </sheetData>
      <sheetData sheetId="7"/>
      <sheetData sheetId="8">
        <row r="103">
          <cell r="B103">
            <v>5411650691</v>
          </cell>
        </row>
      </sheetData>
      <sheetData sheetId="9">
        <row r="21">
          <cell r="AX21">
            <v>-4.8416648466413328</v>
          </cell>
        </row>
      </sheetData>
      <sheetData sheetId="10"/>
      <sheetData sheetId="11"/>
      <sheetData sheetId="12"/>
      <sheetData sheetId="13"/>
      <sheetData sheetId="14"/>
      <sheetData sheetId="15"/>
      <sheetData sheetId="16"/>
      <sheetData sheetId="17"/>
      <sheetData sheetId="18"/>
      <sheetData sheetId="19"/>
      <sheetData sheetId="20">
        <row r="48">
          <cell r="CV48">
            <v>-189.37865765538601</v>
          </cell>
          <cell r="DA48">
            <v>-656.22741378319813</v>
          </cell>
        </row>
        <row r="49">
          <cell r="CV49">
            <v>0</v>
          </cell>
          <cell r="DA49">
            <v>1380.6485665666301</v>
          </cell>
        </row>
        <row r="50">
          <cell r="CV50">
            <v>-4.9950657906240155</v>
          </cell>
          <cell r="DA50">
            <v>3312.7522866653908</v>
          </cell>
        </row>
      </sheetData>
      <sheetData sheetId="21">
        <row r="20">
          <cell r="B20">
            <v>84.506453846553143</v>
          </cell>
        </row>
      </sheetData>
      <sheetData sheetId="22"/>
      <sheetData sheetId="23"/>
      <sheetData sheetId="24"/>
      <sheetData sheetId="25">
        <row r="1">
          <cell r="B1">
            <v>31.542200000000001</v>
          </cell>
        </row>
        <row r="2">
          <cell r="B2">
            <v>31.2318</v>
          </cell>
        </row>
        <row r="20">
          <cell r="B20">
            <v>3050.6260000000002</v>
          </cell>
          <cell r="G20">
            <v>12350.315000000001</v>
          </cell>
          <cell r="H20">
            <v>11528.424999999999</v>
          </cell>
        </row>
        <row r="22">
          <cell r="B22">
            <v>-42.195999999999998</v>
          </cell>
          <cell r="G22">
            <v>-160.273</v>
          </cell>
          <cell r="H22">
            <v>-0.70499999999999474</v>
          </cell>
        </row>
        <row r="24">
          <cell r="B24">
            <v>36.927</v>
          </cell>
          <cell r="G24">
            <v>119.61500000000001</v>
          </cell>
          <cell r="H24">
            <v>90.654000000000025</v>
          </cell>
        </row>
        <row r="25">
          <cell r="B25">
            <v>891.05600000000004</v>
          </cell>
          <cell r="G25">
            <v>3750.3230000000003</v>
          </cell>
          <cell r="H25">
            <v>4227.1970000000001</v>
          </cell>
        </row>
        <row r="27">
          <cell r="B27">
            <v>834.032689</v>
          </cell>
          <cell r="G27">
            <v>3170.6016740000005</v>
          </cell>
          <cell r="H27">
            <v>1616.11718</v>
          </cell>
        </row>
        <row r="28">
          <cell r="B28">
            <v>47.129565999999997</v>
          </cell>
          <cell r="G28">
            <v>-506.95421199999959</v>
          </cell>
          <cell r="H28">
            <v>1360.8943670000001</v>
          </cell>
        </row>
        <row r="31">
          <cell r="B31">
            <v>26.571999999999999</v>
          </cell>
          <cell r="G31">
            <v>151.19999999999999</v>
          </cell>
          <cell r="H31">
            <v>166.429</v>
          </cell>
        </row>
        <row r="33">
          <cell r="B33">
            <v>-258.90410958904113</v>
          </cell>
          <cell r="G33">
            <v>-1050.0001095890414</v>
          </cell>
          <cell r="H33">
            <v>-1047.123178082192</v>
          </cell>
        </row>
        <row r="36">
          <cell r="B36">
            <v>5345.1549869999999</v>
          </cell>
          <cell r="G36">
            <v>5116.0935868958904</v>
          </cell>
          <cell r="H36">
            <v>4814.2773165506851</v>
          </cell>
        </row>
        <row r="57">
          <cell r="B57">
            <v>13342.837</v>
          </cell>
          <cell r="G57">
            <v>13342.837</v>
          </cell>
          <cell r="H57">
            <v>4994.6189999999997</v>
          </cell>
        </row>
        <row r="91">
          <cell r="B91">
            <v>14874.072</v>
          </cell>
          <cell r="G91">
            <v>14874.072</v>
          </cell>
          <cell r="H91">
            <v>14874.072</v>
          </cell>
        </row>
        <row r="94">
          <cell r="B94">
            <v>1786.7639999999999</v>
          </cell>
          <cell r="G94">
            <v>1786.7639999999999</v>
          </cell>
          <cell r="H94">
            <v>2634.3989999999999</v>
          </cell>
        </row>
        <row r="95">
          <cell r="B95">
            <v>127912.88099999999</v>
          </cell>
          <cell r="G95">
            <v>127912.88099999999</v>
          </cell>
          <cell r="H95">
            <v>93440.168000000005</v>
          </cell>
        </row>
        <row r="101">
          <cell r="B101">
            <v>90728.180000000008</v>
          </cell>
          <cell r="G101">
            <v>90728.180000000008</v>
          </cell>
          <cell r="H101">
            <v>98501.267000000007</v>
          </cell>
        </row>
        <row r="102">
          <cell r="B102">
            <v>-136.80103098894492</v>
          </cell>
          <cell r="G102">
            <v>-136.80103098894492</v>
          </cell>
          <cell r="H102">
            <v>133.38956509030569</v>
          </cell>
        </row>
        <row r="104">
          <cell r="B104">
            <v>27236.301417741004</v>
          </cell>
          <cell r="G104">
            <v>27236.301417741004</v>
          </cell>
          <cell r="H104">
            <v>18421.679024350226</v>
          </cell>
        </row>
        <row r="145">
          <cell r="G145">
            <v>290825.34500000003</v>
          </cell>
          <cell r="H145">
            <v>269105.58499999996</v>
          </cell>
        </row>
        <row r="153">
          <cell r="G153">
            <v>36685.809567314718</v>
          </cell>
          <cell r="H153">
            <v>30243.014795851388</v>
          </cell>
        </row>
      </sheetData>
      <sheetData sheetId="26">
        <row r="20">
          <cell r="B20">
            <v>96.715701504650909</v>
          </cell>
        </row>
      </sheetData>
      <sheetData sheetId="27"/>
      <sheetData sheetId="28"/>
      <sheetData sheetId="29"/>
      <sheetData sheetId="30"/>
      <sheetData sheetId="31"/>
      <sheetData sheetId="32"/>
      <sheetData sheetId="3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By company"/>
      <sheetName val="EBITDA bridge"/>
      <sheetName val="HVA INfo"/>
      <sheetName val="MDA table"/>
      <sheetName val="Sheet2"/>
      <sheetName val="Analysis of Core EPS"/>
      <sheetName val="EBITDA table (VJ)"/>
      <sheetName val="Sheet1"/>
      <sheetName val="Financials"/>
      <sheetName val="Exch rates"/>
      <sheetName val="Conso_table"/>
      <sheetName val="Restated"/>
      <sheetName val="Conso THB"/>
      <sheetName val="Conso USD"/>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s>
    <sheetDataSet>
      <sheetData sheetId="0" refreshError="1"/>
      <sheetData sheetId="1" refreshError="1"/>
      <sheetData sheetId="2" refreshError="1"/>
      <sheetData sheetId="3" refreshError="1">
        <row r="2">
          <cell r="AK2">
            <v>33.756192817679548</v>
          </cell>
        </row>
        <row r="161">
          <cell r="AK161">
            <v>2157687.5945205479</v>
          </cell>
        </row>
        <row r="317">
          <cell r="AK317">
            <v>1801528.8626199989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0">
          <cell r="B20">
            <v>2405.0500000000002</v>
          </cell>
        </row>
        <row r="22">
          <cell r="B22">
            <v>-124.28400000000001</v>
          </cell>
        </row>
        <row r="23">
          <cell r="B23">
            <v>-14.692999999999302</v>
          </cell>
        </row>
        <row r="24">
          <cell r="B24">
            <v>13.351070822460997</v>
          </cell>
        </row>
        <row r="25">
          <cell r="B25">
            <v>918.18404050682977</v>
          </cell>
        </row>
        <row r="27">
          <cell r="B27">
            <v>270.34557582981807</v>
          </cell>
        </row>
        <row r="28">
          <cell r="B28">
            <v>270.32619031034005</v>
          </cell>
        </row>
        <row r="31">
          <cell r="B31">
            <v>38.369</v>
          </cell>
        </row>
        <row r="57">
          <cell r="B57">
            <v>4900.348</v>
          </cell>
        </row>
        <row r="90">
          <cell r="B90">
            <v>14874.07167302</v>
          </cell>
        </row>
        <row r="100">
          <cell r="B100">
            <v>84997.556000000011</v>
          </cell>
        </row>
        <row r="101">
          <cell r="B101">
            <v>397.95467451059449</v>
          </cell>
        </row>
        <row r="103">
          <cell r="B103">
            <v>10528.984727162579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By company"/>
      <sheetName val="PTA Asia"/>
      <sheetName val="PTA Asia (Ratio of NCE) "/>
      <sheetName val="Financials"/>
      <sheetName val="EBITDA bridge"/>
      <sheetName val="HVA INfo"/>
      <sheetName val="MDA table"/>
      <sheetName val="Sheet2"/>
      <sheetName val="Analysis of Core EPS"/>
      <sheetName val="EBITDA table (VJ)"/>
      <sheetName val="Sheet1"/>
      <sheetName val="Exch rates"/>
      <sheetName val="Conso_table"/>
      <sheetName val="Restated"/>
      <sheetName val="Conso USD (2)"/>
      <sheetName val="Conso USD"/>
      <sheetName val="Conso THB"/>
      <sheetName val="Restate 2015"/>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s>
    <sheetDataSet>
      <sheetData sheetId="0"/>
      <sheetData sheetId="1"/>
      <sheetData sheetId="2"/>
      <sheetData sheetId="3">
        <row r="2">
          <cell r="X2">
            <v>31.087</v>
          </cell>
        </row>
        <row r="163">
          <cell r="AL163">
            <v>2163013.6219178084</v>
          </cell>
        </row>
        <row r="321">
          <cell r="AL321">
            <v>1780762.266480569</v>
          </cell>
        </row>
      </sheetData>
      <sheetData sheetId="4"/>
      <sheetData sheetId="5"/>
      <sheetData sheetId="6">
        <row r="16">
          <cell r="AL16">
            <v>71.16572795287658</v>
          </cell>
        </row>
      </sheetData>
      <sheetData sheetId="7"/>
      <sheetData sheetId="8"/>
      <sheetData sheetId="9">
        <row r="15">
          <cell r="AC15">
            <v>12997.451336197175</v>
          </cell>
        </row>
      </sheetData>
      <sheetData sheetId="10"/>
      <sheetData sheetId="11"/>
      <sheetData sheetId="12">
        <row r="3">
          <cell r="W3">
            <v>7023.597275263648</v>
          </cell>
        </row>
      </sheetData>
      <sheetData sheetId="13"/>
      <sheetData sheetId="14"/>
      <sheetData sheetId="15">
        <row r="21">
          <cell r="B21">
            <v>6.7871282598298069E-2</v>
          </cell>
        </row>
      </sheetData>
      <sheetData sheetId="16"/>
      <sheetData sheetId="17"/>
      <sheetData sheetId="18">
        <row r="1">
          <cell r="G1">
            <v>34.286106172839489</v>
          </cell>
        </row>
      </sheetData>
      <sheetData sheetId="19">
        <row r="10">
          <cell r="B10">
            <v>57478.802695463004</v>
          </cell>
        </row>
        <row r="20">
          <cell r="G20">
            <v>9325.0059999999994</v>
          </cell>
        </row>
        <row r="22">
          <cell r="B22">
            <v>-148.39199999999997</v>
          </cell>
          <cell r="G22">
            <v>-396.33799999999997</v>
          </cell>
        </row>
        <row r="23">
          <cell r="G23">
            <v>2412.761</v>
          </cell>
        </row>
        <row r="24">
          <cell r="B24">
            <v>57.840929177538996</v>
          </cell>
          <cell r="G24">
            <v>166.68899999999999</v>
          </cell>
        </row>
        <row r="25">
          <cell r="B25">
            <v>1024.8169594931701</v>
          </cell>
          <cell r="G25">
            <v>3747.0160000000001</v>
          </cell>
        </row>
        <row r="27">
          <cell r="B27">
            <v>103.41354028968999</v>
          </cell>
          <cell r="G27">
            <v>826.68800011950805</v>
          </cell>
        </row>
        <row r="28">
          <cell r="B28">
            <v>-444.45306558660002</v>
          </cell>
          <cell r="G28">
            <v>800.85736172374004</v>
          </cell>
        </row>
        <row r="31">
          <cell r="G31">
            <v>279.13</v>
          </cell>
        </row>
        <row r="57">
          <cell r="B57">
            <v>3684.2809999999999</v>
          </cell>
          <cell r="G57">
            <v>3684.2809999999999</v>
          </cell>
        </row>
        <row r="91">
          <cell r="B91">
            <v>14874.072</v>
          </cell>
          <cell r="G91">
            <v>14874.072</v>
          </cell>
        </row>
        <row r="95">
          <cell r="B95">
            <v>82952.963000000003</v>
          </cell>
          <cell r="G95">
            <v>82952.963000000003</v>
          </cell>
          <cell r="H95">
            <v>74609.631248535894</v>
          </cell>
        </row>
        <row r="101">
          <cell r="B101">
            <v>83606.256000000008</v>
          </cell>
          <cell r="G101">
            <v>83606.256000000008</v>
          </cell>
        </row>
        <row r="102">
          <cell r="B102">
            <v>587.75430646338395</v>
          </cell>
          <cell r="G102">
            <v>587.75430646338395</v>
          </cell>
        </row>
        <row r="104">
          <cell r="B104">
            <v>12037.809103577802</v>
          </cell>
          <cell r="G104">
            <v>12037.809103577802</v>
          </cell>
        </row>
      </sheetData>
      <sheetData sheetId="20">
        <row r="14">
          <cell r="G14">
            <v>-50494.95653706789</v>
          </cell>
          <cell r="H14">
            <v>-200819.66805112362</v>
          </cell>
          <cell r="Q14">
            <v>-210045.80579331517</v>
          </cell>
        </row>
        <row r="15">
          <cell r="H15">
            <v>10905.072577023879</v>
          </cell>
          <cell r="L15">
            <v>2782.3034795203712</v>
          </cell>
          <cell r="Q15">
            <v>12363.11629573931</v>
          </cell>
        </row>
        <row r="16">
          <cell r="H16">
            <v>239</v>
          </cell>
          <cell r="Q16">
            <v>325.01131035166327</v>
          </cell>
        </row>
        <row r="23">
          <cell r="L23">
            <v>2.8446865080945511</v>
          </cell>
        </row>
      </sheetData>
      <sheetData sheetId="21">
        <row r="6">
          <cell r="B6">
            <v>1052752.5808219179</v>
          </cell>
        </row>
      </sheetData>
      <sheetData sheetId="22">
        <row r="7">
          <cell r="B7">
            <v>376022.904109589</v>
          </cell>
        </row>
      </sheetData>
      <sheetData sheetId="23"/>
      <sheetData sheetId="24"/>
      <sheetData sheetId="25"/>
      <sheetData sheetId="26"/>
      <sheetData sheetId="27"/>
      <sheetData sheetId="28"/>
      <sheetData sheetId="29"/>
      <sheetData sheetId="30">
        <row r="7">
          <cell r="B7">
            <v>732751.01369863015</v>
          </cell>
        </row>
      </sheetData>
      <sheetData sheetId="31"/>
      <sheetData sheetId="3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By company"/>
      <sheetName val="PTA Asia"/>
      <sheetName val="PTA Asia (Ratio of NCE) "/>
      <sheetName val="EBITDA bridge"/>
      <sheetName val="Financials"/>
      <sheetName val="HVA INfo"/>
      <sheetName val="Analysis"/>
      <sheetName val="MDA table"/>
      <sheetName val="Sheet2"/>
      <sheetName val="Analysis of Core EP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s>
    <sheetDataSet>
      <sheetData sheetId="0" refreshError="1"/>
      <sheetData sheetId="1" refreshError="1"/>
      <sheetData sheetId="2" refreshError="1"/>
      <sheetData sheetId="3" refreshError="1">
        <row r="3">
          <cell r="AN3">
            <v>35.646999999999998</v>
          </cell>
        </row>
        <row r="177">
          <cell r="AN177">
            <v>2204590.6940386901</v>
          </cell>
        </row>
        <row r="349">
          <cell r="AN349">
            <v>1764770.9200019871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0">
          <cell r="B10">
            <v>57164.233</v>
          </cell>
        </row>
        <row r="20">
          <cell r="B20">
            <v>2342.018</v>
          </cell>
          <cell r="D20">
            <v>2058.8585335106204</v>
          </cell>
        </row>
        <row r="22">
          <cell r="B22">
            <v>-25.888999999999999</v>
          </cell>
        </row>
        <row r="23">
          <cell r="B23">
            <v>3276.1452029999996</v>
          </cell>
          <cell r="D23">
            <v>137.53691600000002</v>
          </cell>
        </row>
        <row r="24">
          <cell r="B24">
            <v>53.451000000000001</v>
          </cell>
        </row>
        <row r="25">
          <cell r="B25">
            <v>1000.328</v>
          </cell>
        </row>
        <row r="27">
          <cell r="B27">
            <v>211.22981999999999</v>
          </cell>
        </row>
        <row r="28">
          <cell r="B28">
            <v>-63.875366999999997</v>
          </cell>
          <cell r="D28">
            <v>193.48131441157298</v>
          </cell>
        </row>
        <row r="31">
          <cell r="B31">
            <v>66.436000000000007</v>
          </cell>
          <cell r="D31">
            <v>89.989000000000004</v>
          </cell>
        </row>
        <row r="57">
          <cell r="B57">
            <v>7285.8609999999999</v>
          </cell>
          <cell r="D57">
            <v>14174.67</v>
          </cell>
        </row>
        <row r="91">
          <cell r="B91">
            <v>14874.072</v>
          </cell>
        </row>
        <row r="95">
          <cell r="B95">
            <v>86293.237000000008</v>
          </cell>
          <cell r="D95">
            <v>72060.992946355676</v>
          </cell>
        </row>
        <row r="101">
          <cell r="B101">
            <v>100455.768</v>
          </cell>
          <cell r="D101">
            <v>72039.027667787741</v>
          </cell>
        </row>
        <row r="102">
          <cell r="B102">
            <v>547.46894744268297</v>
          </cell>
          <cell r="D102">
            <v>87.3718775360622</v>
          </cell>
        </row>
        <row r="104">
          <cell r="B104">
            <v>27717.566694500369</v>
          </cell>
          <cell r="D104">
            <v>5158.0341910898405</v>
          </cell>
        </row>
      </sheetData>
      <sheetData sheetId="18" refreshError="1"/>
      <sheetData sheetId="19" refreshError="1"/>
      <sheetData sheetId="20" refreshError="1">
        <row r="20">
          <cell r="B20">
            <v>65.700283333800883</v>
          </cell>
        </row>
        <row r="36">
          <cell r="H36">
            <v>4814</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9"/>
  <sheetViews>
    <sheetView tabSelected="1" view="pageBreakPreview" zoomScale="80" zoomScaleNormal="100" zoomScaleSheetLayoutView="80" workbookViewId="0">
      <pane xSplit="2" ySplit="2" topLeftCell="E3" activePane="bottomRight" state="frozen"/>
      <selection activeCell="E69" sqref="E69"/>
      <selection pane="topRight" activeCell="E69" sqref="E69"/>
      <selection pane="bottomLeft" activeCell="E69" sqref="E69"/>
      <selection pane="bottomRight" activeCell="A2" sqref="A2"/>
    </sheetView>
  </sheetViews>
  <sheetFormatPr defaultColWidth="9.140625" defaultRowHeight="12.75" outlineLevelRow="1" outlineLevelCol="1"/>
  <cols>
    <col min="1" max="1" width="53.85546875" style="2" customWidth="1"/>
    <col min="2" max="2" width="6.7109375" style="2" bestFit="1" customWidth="1"/>
    <col min="3" max="3" width="9.140625" style="2" hidden="1" customWidth="1" outlineLevel="1"/>
    <col min="4" max="4" width="10.140625" style="2" hidden="1" customWidth="1" outlineLevel="1"/>
    <col min="5" max="5" width="9.7109375" style="2" customWidth="1" collapsed="1"/>
    <col min="6" max="8" width="9.7109375" style="2" customWidth="1"/>
    <col min="9" max="10" width="9.7109375" style="133" customWidth="1"/>
    <col min="11" max="12" width="9.7109375" style="134" customWidth="1"/>
    <col min="13" max="21" width="8.5703125" style="2" hidden="1" customWidth="1" outlineLevel="1"/>
    <col min="22" max="23" width="8.5703125" style="45" hidden="1" customWidth="1" outlineLevel="1"/>
    <col min="24" max="24" width="9" style="45" hidden="1" customWidth="1" outlineLevel="1"/>
    <col min="25" max="25" width="7.28515625" style="45" hidden="1" customWidth="1" outlineLevel="1"/>
    <col min="26" max="26" width="8.5703125" style="45" hidden="1" customWidth="1" outlineLevel="1"/>
    <col min="27" max="27" width="8.5703125" style="2" hidden="1" customWidth="1" outlineLevel="1"/>
    <col min="28" max="28" width="9.5703125" style="2" hidden="1" customWidth="1" outlineLevel="1"/>
    <col min="29" max="29" width="9.5703125" style="2" customWidth="1" collapsed="1"/>
    <col min="30" max="31" width="8" style="2" hidden="1" customWidth="1"/>
    <col min="32" max="33" width="9.5703125" style="2" customWidth="1"/>
    <col min="34" max="16384" width="9.140625" style="2"/>
  </cols>
  <sheetData>
    <row r="1" spans="1:33" s="3" customFormat="1" ht="1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s="3" customFormat="1" ht="31.5" customHeight="1">
      <c r="A2" s="4" t="s">
        <v>1</v>
      </c>
      <c r="B2" s="5"/>
      <c r="C2" s="6">
        <v>2010</v>
      </c>
      <c r="D2" s="6">
        <v>2011</v>
      </c>
      <c r="E2" s="6">
        <v>2012</v>
      </c>
      <c r="F2" s="7" t="s">
        <v>2</v>
      </c>
      <c r="G2" s="7" t="s">
        <v>3</v>
      </c>
      <c r="H2" s="6">
        <v>2015</v>
      </c>
      <c r="I2" s="6">
        <v>2016</v>
      </c>
      <c r="J2" s="8">
        <v>2017</v>
      </c>
      <c r="K2" s="8" t="s">
        <v>4</v>
      </c>
      <c r="L2" s="8" t="s">
        <v>5</v>
      </c>
      <c r="M2" s="9" t="s">
        <v>6</v>
      </c>
      <c r="N2" s="9" t="s">
        <v>7</v>
      </c>
      <c r="O2" s="9" t="s">
        <v>8</v>
      </c>
      <c r="P2" s="9" t="s">
        <v>9</v>
      </c>
      <c r="Q2" s="9" t="s">
        <v>10</v>
      </c>
      <c r="R2" s="9" t="s">
        <v>11</v>
      </c>
      <c r="S2" s="9" t="s">
        <v>12</v>
      </c>
      <c r="T2" s="9" t="s">
        <v>13</v>
      </c>
      <c r="U2" s="9" t="s">
        <v>14</v>
      </c>
      <c r="V2" s="10" t="s">
        <v>15</v>
      </c>
      <c r="W2" s="10" t="s">
        <v>16</v>
      </c>
      <c r="X2" s="9" t="s">
        <v>17</v>
      </c>
      <c r="Y2" s="9" t="s">
        <v>18</v>
      </c>
      <c r="Z2" s="9" t="s">
        <v>19</v>
      </c>
      <c r="AA2" s="9" t="s">
        <v>20</v>
      </c>
      <c r="AB2" s="9" t="s">
        <v>21</v>
      </c>
      <c r="AC2" s="9" t="s">
        <v>22</v>
      </c>
      <c r="AD2" s="9" t="s">
        <v>23</v>
      </c>
      <c r="AE2" s="9" t="s">
        <v>24</v>
      </c>
      <c r="AF2" s="9" t="s">
        <v>25</v>
      </c>
      <c r="AG2" s="9" t="s">
        <v>26</v>
      </c>
    </row>
    <row r="3" spans="1:33" s="18" customFormat="1" ht="25.5">
      <c r="A3" s="11" t="s">
        <v>27</v>
      </c>
      <c r="B3" s="12"/>
      <c r="C3" s="12"/>
      <c r="D3" s="12"/>
      <c r="E3" s="12"/>
      <c r="F3" s="12"/>
      <c r="G3" s="13"/>
      <c r="H3" s="13"/>
      <c r="I3" s="13"/>
      <c r="J3" s="13"/>
      <c r="K3" s="14"/>
      <c r="L3" s="15"/>
      <c r="M3" s="12"/>
      <c r="N3" s="12"/>
      <c r="O3" s="12"/>
      <c r="P3" s="12"/>
      <c r="Q3" s="12"/>
      <c r="R3" s="12"/>
      <c r="S3" s="12"/>
      <c r="T3" s="12"/>
      <c r="U3" s="16"/>
      <c r="V3" s="12"/>
      <c r="W3" s="12"/>
      <c r="X3" s="12"/>
      <c r="Y3" s="12"/>
      <c r="Z3" s="12"/>
      <c r="AA3" s="12"/>
      <c r="AB3" s="12"/>
      <c r="AC3" s="12"/>
      <c r="AD3" s="12"/>
      <c r="AE3" s="12"/>
      <c r="AF3" s="12"/>
      <c r="AG3" s="17"/>
    </row>
    <row r="4" spans="1:33">
      <c r="A4" s="2" t="s">
        <v>28</v>
      </c>
      <c r="B4" s="2" t="s">
        <v>29</v>
      </c>
      <c r="C4" s="19">
        <v>3.26</v>
      </c>
      <c r="D4" s="19">
        <v>5.4939999999999998</v>
      </c>
      <c r="E4" s="19">
        <v>6.78</v>
      </c>
      <c r="F4" s="19">
        <v>7.0289999999999999</v>
      </c>
      <c r="G4" s="19">
        <v>7.51</v>
      </c>
      <c r="H4" s="19">
        <f>'[1]Historical Financials in USD'!H4</f>
        <v>8.7759999999999998</v>
      </c>
      <c r="I4" s="19">
        <f>'[2]Installed Capacities'!H39/10^3</f>
        <v>10.470313663308316</v>
      </c>
      <c r="J4" s="19">
        <f>'[2]Installed Capacities'!I39/10^3</f>
        <v>10.664965558165965</v>
      </c>
      <c r="K4" s="20"/>
      <c r="L4" s="21"/>
      <c r="M4" s="22"/>
      <c r="N4" s="22"/>
      <c r="O4" s="22"/>
      <c r="P4" s="22"/>
      <c r="Q4" s="22"/>
      <c r="R4" s="22"/>
      <c r="S4" s="22"/>
      <c r="T4" s="22"/>
      <c r="U4" s="22"/>
      <c r="V4" s="23"/>
      <c r="W4" s="23"/>
      <c r="X4" s="23"/>
      <c r="Y4" s="23"/>
      <c r="Z4" s="23"/>
      <c r="AA4" s="23"/>
      <c r="AB4" s="23"/>
      <c r="AC4" s="23"/>
      <c r="AD4" s="23"/>
      <c r="AE4" s="23"/>
      <c r="AF4" s="23"/>
      <c r="AG4" s="24"/>
    </row>
    <row r="5" spans="1:33">
      <c r="A5" s="2" t="s">
        <v>30</v>
      </c>
      <c r="B5" s="2" t="s">
        <v>29</v>
      </c>
      <c r="C5" s="25">
        <f>[3]Conso_table!$DU$33/10^6</f>
        <v>3.260861095890411</v>
      </c>
      <c r="D5" s="25">
        <f>[3]Conso_table!$DT$33/10^6</f>
        <v>5.0987422999999996</v>
      </c>
      <c r="E5" s="25">
        <f>[3]Conso_table!$CD$33/10^6</f>
        <v>6.2811430557377044</v>
      </c>
      <c r="F5" s="25">
        <f>[3]Conso_table!$Q$33/10^6</f>
        <v>6.8188870000000001</v>
      </c>
      <c r="G5" s="25">
        <f>SUM(Q5:T5)</f>
        <v>7.3134799999999993</v>
      </c>
      <c r="H5" s="25">
        <f>SUM(U5:X5)</f>
        <v>8.2030046986301386</v>
      </c>
      <c r="I5" s="19">
        <f>'[4]By company'!$AR$175/10^6</f>
        <v>10.178894686942215</v>
      </c>
      <c r="J5" s="19">
        <f>'[5]By company'!$AW$191/10^6</f>
        <v>10.380801593413699</v>
      </c>
      <c r="K5" s="26">
        <f>'[6]By company'!$AZ$197/10^6</f>
        <v>10.502478358931906</v>
      </c>
      <c r="L5" s="27">
        <f>'[6]By company'!$AY$197/10^6</f>
        <v>10.512218950141344</v>
      </c>
      <c r="M5" s="19">
        <v>1.67126317</v>
      </c>
      <c r="N5" s="19">
        <v>1.6925056200000004</v>
      </c>
      <c r="O5" s="19">
        <v>1.712436001095889</v>
      </c>
      <c r="P5" s="19">
        <v>1.7426822089041107</v>
      </c>
      <c r="Q5" s="19">
        <v>1.7105372100000003</v>
      </c>
      <c r="R5" s="19">
        <v>1.8487242999999998</v>
      </c>
      <c r="S5" s="19">
        <v>1.8982822399999999</v>
      </c>
      <c r="T5" s="19">
        <v>1.8559362500000001</v>
      </c>
      <c r="U5" s="19">
        <v>1.8601375068493151</v>
      </c>
      <c r="V5" s="19">
        <v>2.0221659753424661</v>
      </c>
      <c r="W5" s="28">
        <f>'[7]By company'!$AK$161/10^6</f>
        <v>2.157687594520548</v>
      </c>
      <c r="X5" s="28">
        <f>'[8]By company'!$AL$163/10^6</f>
        <v>2.1630136219178082</v>
      </c>
      <c r="Y5" s="28">
        <f>'[9]By company'!$AN$177/10^6</f>
        <v>2.2045906940386901</v>
      </c>
      <c r="Z5" s="28">
        <f>'[10]By company'!$AO$175/10^6</f>
        <v>2.6595395708522105</v>
      </c>
      <c r="AA5" s="28">
        <f>'[11]By company'!$AP$175/10^6</f>
        <v>2.6688661836283969</v>
      </c>
      <c r="AB5" s="29">
        <f>'[1]Historical Financials in USD'!AB5</f>
        <v>2.6458982384229173</v>
      </c>
      <c r="AC5" s="29">
        <f>'[12]By company'!$AS$179/10^6</f>
        <v>2.5363114663970876</v>
      </c>
      <c r="AD5" s="29">
        <f>'[12]By company'!$AT$179/10^6</f>
        <v>2.5673803761454876</v>
      </c>
      <c r="AE5" s="30">
        <f>'[13]By company'!$AU$185/10^6</f>
        <v>2.6012438064418326</v>
      </c>
      <c r="AF5" s="30">
        <f>J5-AC5-AD5-AE5</f>
        <v>2.6758659444292903</v>
      </c>
      <c r="AG5" s="31">
        <f>'[6]By company'!$AX$197/10^6</f>
        <v>2.659591722756026</v>
      </c>
    </row>
    <row r="6" spans="1:33">
      <c r="A6" s="2" t="s">
        <v>31</v>
      </c>
      <c r="B6" s="2" t="s">
        <v>29</v>
      </c>
      <c r="C6" s="32">
        <v>3.1855030000000002</v>
      </c>
      <c r="D6" s="32">
        <v>4.3613119999999999</v>
      </c>
      <c r="E6" s="32">
        <v>5.2548760000000003</v>
      </c>
      <c r="F6" s="32">
        <v>5.8039160000000001</v>
      </c>
      <c r="G6" s="32">
        <f>SUM(Q6:T6)</f>
        <v>6.2494175399999996</v>
      </c>
      <c r="H6" s="32">
        <f>SUM(U6:X6)</f>
        <v>7.023597275263648</v>
      </c>
      <c r="I6" s="32">
        <f>'[4]By company'!$AR$345/10^6</f>
        <v>8.728926665510043</v>
      </c>
      <c r="J6" s="32">
        <f>'[5]By company'!$AW$377/10^6</f>
        <v>9.1032677084520284</v>
      </c>
      <c r="K6" s="33">
        <f>'[6]By company'!$AZ$389/10^6</f>
        <v>9.1522942951810471</v>
      </c>
      <c r="L6" s="34">
        <f>'[6]By company'!$AY$389/10^6</f>
        <v>9.2402537291313305</v>
      </c>
      <c r="M6" s="32">
        <v>1.4233449847838788</v>
      </c>
      <c r="N6" s="32">
        <v>1.4457370687095275</v>
      </c>
      <c r="O6" s="32">
        <v>1.470999958875725</v>
      </c>
      <c r="P6" s="32">
        <v>1.4638338576308696</v>
      </c>
      <c r="Q6" s="32">
        <v>1.5054495400000001</v>
      </c>
      <c r="R6" s="32">
        <v>1.5868450000000001</v>
      </c>
      <c r="S6" s="32">
        <v>1.6325160000000001</v>
      </c>
      <c r="T6" s="32">
        <v>1.524607</v>
      </c>
      <c r="U6" s="32">
        <v>1.6267209389142077</v>
      </c>
      <c r="V6" s="32">
        <v>1.8145852072488726</v>
      </c>
      <c r="W6" s="35">
        <f>'[7]By company'!$AK$317/10^6</f>
        <v>1.8015288626199988</v>
      </c>
      <c r="X6" s="35">
        <f>'[8]By company'!$AL$321/10^6</f>
        <v>1.7807622664805691</v>
      </c>
      <c r="Y6" s="35">
        <f>'[9]By company'!$AN$349/10^6</f>
        <v>1.7647709200019872</v>
      </c>
      <c r="Z6" s="35">
        <f>'[10]By company'!$AO$345/10^6</f>
        <v>2.3193589555325862</v>
      </c>
      <c r="AA6" s="36">
        <f>'[11]By company'!$AP$345/10^6</f>
        <v>2.3795751199698389</v>
      </c>
      <c r="AB6" s="35">
        <f>'[1]Historical Financials in USD'!AB6</f>
        <v>2.2652216700056305</v>
      </c>
      <c r="AC6" s="35">
        <f>'[5]By company'!AS377/10^6</f>
        <v>2.1881375496729887</v>
      </c>
      <c r="AD6" s="35">
        <f>'[5]By company'!AT377/10^6</f>
        <v>2.2228976203174389</v>
      </c>
      <c r="AE6" s="35">
        <f>'[5]By company'!AU377/10^6</f>
        <v>2.3866285300104808</v>
      </c>
      <c r="AF6" s="35">
        <f>J6-AC6-AD6-AE6</f>
        <v>2.3056040084511196</v>
      </c>
      <c r="AG6" s="37">
        <f>'[6]By company'!$AX$389/10^6</f>
        <v>2.325123570352289</v>
      </c>
    </row>
    <row r="7" spans="1:33" s="38" customFormat="1">
      <c r="A7" s="38" t="s">
        <v>32</v>
      </c>
      <c r="B7" s="39" t="s">
        <v>33</v>
      </c>
      <c r="C7" s="40">
        <f t="shared" ref="C7:AE7" si="0">C6/C5</f>
        <v>0.97689012390457763</v>
      </c>
      <c r="D7" s="40">
        <f t="shared" si="0"/>
        <v>0.85537015667569627</v>
      </c>
      <c r="E7" s="40">
        <f t="shared" si="0"/>
        <v>0.83661141823537533</v>
      </c>
      <c r="F7" s="41">
        <f t="shared" si="0"/>
        <v>0.85115298141764195</v>
      </c>
      <c r="G7" s="41">
        <f t="shared" si="0"/>
        <v>0.85450668354873471</v>
      </c>
      <c r="H7" s="41">
        <f t="shared" si="0"/>
        <v>0.85622251032436369</v>
      </c>
      <c r="I7" s="41">
        <f>I6/I5</f>
        <v>0.85755152538396595</v>
      </c>
      <c r="J7" s="41">
        <f>J6/J5</f>
        <v>0.87693302164909626</v>
      </c>
      <c r="K7" s="42">
        <f>K6/K5</f>
        <v>0.87144138577514085</v>
      </c>
      <c r="L7" s="43">
        <f>L6/L5</f>
        <v>0.87900126252669886</v>
      </c>
      <c r="M7" s="40">
        <f t="shared" si="0"/>
        <v>0.85165820101443324</v>
      </c>
      <c r="N7" s="40">
        <f t="shared" si="0"/>
        <v>0.85419927214748459</v>
      </c>
      <c r="O7" s="40">
        <f t="shared" si="0"/>
        <v>0.85901018078009639</v>
      </c>
      <c r="P7" s="40">
        <f t="shared" si="0"/>
        <v>0.83998898373525288</v>
      </c>
      <c r="Q7" s="40">
        <f t="shared" si="0"/>
        <v>0.88010335653557625</v>
      </c>
      <c r="R7" s="40">
        <f t="shared" si="0"/>
        <v>0.85834594157711908</v>
      </c>
      <c r="S7" s="40">
        <f t="shared" si="0"/>
        <v>0.85999645658592905</v>
      </c>
      <c r="T7" s="40">
        <f t="shared" si="0"/>
        <v>0.821475953174577</v>
      </c>
      <c r="U7" s="40">
        <f t="shared" si="0"/>
        <v>0.87451649833647704</v>
      </c>
      <c r="V7" s="40">
        <f t="shared" si="0"/>
        <v>0.89734731440210369</v>
      </c>
      <c r="W7" s="40">
        <f t="shared" si="0"/>
        <v>0.8349349865082345</v>
      </c>
      <c r="X7" s="40">
        <f t="shared" si="0"/>
        <v>0.82327834112375087</v>
      </c>
      <c r="Y7" s="40">
        <f t="shared" si="0"/>
        <v>0.80049821709490343</v>
      </c>
      <c r="Z7" s="40">
        <f t="shared" si="0"/>
        <v>0.87209041029210244</v>
      </c>
      <c r="AA7" s="40">
        <f t="shared" si="0"/>
        <v>0.89160525715633343</v>
      </c>
      <c r="AB7" s="40">
        <f t="shared" si="0"/>
        <v>0.85612577124500888</v>
      </c>
      <c r="AC7" s="40">
        <f t="shared" si="0"/>
        <v>0.86272430601014027</v>
      </c>
      <c r="AD7" s="40">
        <f t="shared" si="0"/>
        <v>0.86582324963267243</v>
      </c>
      <c r="AE7" s="40">
        <f t="shared" si="0"/>
        <v>0.91749513217489675</v>
      </c>
      <c r="AF7" s="40">
        <f>AF6/AF5</f>
        <v>0.86162911608147086</v>
      </c>
      <c r="AG7" s="44">
        <f t="shared" ref="AG7" si="1">AG6/AG5</f>
        <v>0.87424079059129367</v>
      </c>
    </row>
    <row r="8" spans="1:33">
      <c r="A8" s="2" t="s">
        <v>34</v>
      </c>
      <c r="B8" s="45" t="s">
        <v>35</v>
      </c>
      <c r="C8" s="25">
        <v>31.701000000000001</v>
      </c>
      <c r="D8" s="25">
        <v>30.496700000000001</v>
      </c>
      <c r="E8" s="25">
        <v>31.087</v>
      </c>
      <c r="F8" s="25">
        <v>30.729800000000001</v>
      </c>
      <c r="G8" s="25">
        <v>32.480800000000002</v>
      </c>
      <c r="H8" s="25">
        <v>34.286099999999998</v>
      </c>
      <c r="I8" s="25">
        <v>35.289706557377052</v>
      </c>
      <c r="J8" s="25">
        <f>'[5]By company'!$AW$2</f>
        <v>33.933399999999999</v>
      </c>
      <c r="K8" s="46">
        <f>'[6]By company'!$AZ$2</f>
        <v>35.150209465020566</v>
      </c>
      <c r="L8" s="47">
        <f>'[6]By company'!$AY$2</f>
        <v>33.027814754098344</v>
      </c>
      <c r="M8" s="25">
        <v>29.805745161290321</v>
      </c>
      <c r="N8" s="25">
        <v>29.906706779661032</v>
      </c>
      <c r="O8" s="25">
        <v>31.478965079365075</v>
      </c>
      <c r="P8" s="25">
        <v>31.69132459016393</v>
      </c>
      <c r="Q8" s="25">
        <v>32.66654193548387</v>
      </c>
      <c r="R8" s="25">
        <v>32.45390508474577</v>
      </c>
      <c r="S8" s="25">
        <v>32.099451612903231</v>
      </c>
      <c r="T8" s="25">
        <v>32.702045161290329</v>
      </c>
      <c r="U8" s="25">
        <v>32.646173770491792</v>
      </c>
      <c r="V8" s="25">
        <v>33.287399999999998</v>
      </c>
      <c r="W8" s="25">
        <v>35.255120634920651</v>
      </c>
      <c r="X8" s="25">
        <v>35.83311129032257</v>
      </c>
      <c r="Y8" s="48">
        <v>35.646999999999998</v>
      </c>
      <c r="Z8" s="48">
        <f>'[12]Conso THB'!$D$1</f>
        <v>35.286499999999997</v>
      </c>
      <c r="AA8" s="48">
        <v>34.829500000000003</v>
      </c>
      <c r="AB8" s="48">
        <v>35.389843548387091</v>
      </c>
      <c r="AC8" s="48">
        <f>'[12]Conso THB'!$C$1</f>
        <v>35.106046774193558</v>
      </c>
      <c r="AD8" s="48">
        <f>'[12]Conso THB'!$B$1</f>
        <v>34.286299999999997</v>
      </c>
      <c r="AE8" s="48">
        <f>'[13]Conso THB'!$B$1</f>
        <v>33.373800000000003</v>
      </c>
      <c r="AF8" s="48">
        <f>'[5]By company'!$AV$3</f>
        <v>32.947000000000003</v>
      </c>
      <c r="AG8" s="49">
        <f>'[6]Conso THB'!$B$1</f>
        <v>31.542200000000001</v>
      </c>
    </row>
    <row r="9" spans="1:33">
      <c r="A9" s="2" t="str">
        <f>'[1]Historical Financials in USD'!A9</f>
        <v xml:space="preserve">Closing Exchange Rate </v>
      </c>
      <c r="B9" s="45" t="s">
        <v>35</v>
      </c>
      <c r="C9" s="25">
        <v>30.151299999999999</v>
      </c>
      <c r="D9" s="25">
        <v>31.691199999999998</v>
      </c>
      <c r="E9" s="25">
        <v>30.631599999999999</v>
      </c>
      <c r="F9" s="25">
        <v>32.813600000000001</v>
      </c>
      <c r="G9" s="25">
        <v>32.963000000000001</v>
      </c>
      <c r="H9" s="25">
        <v>36.0886</v>
      </c>
      <c r="I9" s="25">
        <v>35.8307</v>
      </c>
      <c r="J9" s="25">
        <f>'[5]By company'!$AW$4</f>
        <v>32.680900000000001</v>
      </c>
      <c r="K9" s="46">
        <f>'[6]By company'!$AZ$4</f>
        <v>34.450099999999999</v>
      </c>
      <c r="L9" s="47">
        <f>'[6]By company'!$AY$4</f>
        <v>31.2318</v>
      </c>
      <c r="M9" s="25">
        <v>29.308499999999999</v>
      </c>
      <c r="N9" s="25">
        <v>31.127099999999999</v>
      </c>
      <c r="O9" s="25">
        <v>31.390699999999999</v>
      </c>
      <c r="P9" s="25">
        <v>32.813600000000001</v>
      </c>
      <c r="Q9" s="25">
        <v>32.443199999999997</v>
      </c>
      <c r="R9" s="25">
        <v>32.454999999999998</v>
      </c>
      <c r="S9" s="25">
        <v>32.3733</v>
      </c>
      <c r="T9" s="25">
        <v>32.963000000000001</v>
      </c>
      <c r="U9" s="25">
        <v>32.555100000000003</v>
      </c>
      <c r="V9" s="25">
        <v>33.776800000000001</v>
      </c>
      <c r="W9" s="25">
        <v>36.369599999999998</v>
      </c>
      <c r="X9" s="25">
        <v>36.0886</v>
      </c>
      <c r="Y9" s="48">
        <v>35.239199999999997</v>
      </c>
      <c r="Z9" s="48">
        <f>'[12]Conso THB'!$D$2</f>
        <v>35.180199999999999</v>
      </c>
      <c r="AA9" s="48">
        <v>34.6999</v>
      </c>
      <c r="AB9" s="48">
        <v>35.8307</v>
      </c>
      <c r="AC9" s="48">
        <f>'[12]Conso THB'!$C$2</f>
        <v>34.450099999999999</v>
      </c>
      <c r="AD9" s="48">
        <f>'[12]Conso THB'!$B$2</f>
        <v>33.981400000000001</v>
      </c>
      <c r="AE9" s="48">
        <f>'[13]Conso THB'!$B$2</f>
        <v>33.368400000000001</v>
      </c>
      <c r="AF9" s="48">
        <f>J9</f>
        <v>32.680900000000001</v>
      </c>
      <c r="AG9" s="49">
        <f>'[6]Conso THB'!$B$2</f>
        <v>31.2318</v>
      </c>
    </row>
    <row r="10" spans="1:33" s="18" customFormat="1" ht="25.5">
      <c r="A10" s="11" t="s">
        <v>36</v>
      </c>
      <c r="B10" s="12"/>
      <c r="C10" s="12"/>
      <c r="D10" s="12"/>
      <c r="E10" s="12"/>
      <c r="F10" s="12"/>
      <c r="G10" s="13"/>
      <c r="H10" s="13"/>
      <c r="I10" s="13"/>
      <c r="J10" s="13"/>
      <c r="K10" s="14"/>
      <c r="L10" s="50"/>
      <c r="M10" s="12"/>
      <c r="N10" s="12"/>
      <c r="O10" s="12"/>
      <c r="P10" s="12"/>
      <c r="Q10" s="12"/>
      <c r="R10" s="12"/>
      <c r="S10" s="12"/>
      <c r="T10" s="12"/>
      <c r="U10" s="16"/>
      <c r="V10" s="12"/>
      <c r="W10" s="12"/>
      <c r="X10" s="12"/>
      <c r="Y10" s="12"/>
      <c r="Z10" s="12"/>
      <c r="AA10" s="12"/>
      <c r="AB10" s="12"/>
      <c r="AC10" s="12"/>
      <c r="AD10" s="12"/>
      <c r="AE10" s="12"/>
      <c r="AF10" s="12"/>
      <c r="AG10" s="51"/>
    </row>
    <row r="11" spans="1:33">
      <c r="C11" s="52"/>
      <c r="D11" s="52"/>
      <c r="E11" s="52"/>
      <c r="F11" s="52"/>
      <c r="G11" s="52"/>
      <c r="H11" s="52"/>
      <c r="I11" s="52"/>
      <c r="J11" s="52"/>
      <c r="K11" s="53"/>
      <c r="L11" s="54"/>
      <c r="M11" s="55"/>
      <c r="N11" s="55"/>
      <c r="O11" s="55"/>
      <c r="P11" s="55"/>
      <c r="Q11" s="56"/>
      <c r="R11" s="57"/>
      <c r="S11" s="56"/>
      <c r="T11" s="56"/>
      <c r="U11" s="56"/>
      <c r="V11" s="57"/>
      <c r="W11" s="56"/>
      <c r="X11" s="56"/>
      <c r="Y11" s="56"/>
      <c r="Z11" s="57"/>
      <c r="AA11" s="55"/>
      <c r="AB11" s="56"/>
      <c r="AC11" s="56"/>
      <c r="AD11" s="56"/>
      <c r="AE11" s="56"/>
      <c r="AF11" s="56"/>
      <c r="AG11" s="58"/>
    </row>
    <row r="12" spans="1:33">
      <c r="A12" s="59" t="s">
        <v>37</v>
      </c>
      <c r="B12" s="60" t="s">
        <v>38</v>
      </c>
      <c r="C12" s="61">
        <f>'[1]Segment Analysis in THB'!B35</f>
        <v>96858</v>
      </c>
      <c r="D12" s="61">
        <f>'[1]Segment Analysis in THB'!C35</f>
        <v>186096</v>
      </c>
      <c r="E12" s="61">
        <f>'[1]Segment Analysis in THB'!D35</f>
        <v>210728.984</v>
      </c>
      <c r="F12" s="61">
        <f>'[1]Segment Analysis in THB'!E35</f>
        <v>229120.448</v>
      </c>
      <c r="G12" s="61">
        <f>'[1]Segment Analysis in THB'!F35</f>
        <v>243907.21766484791</v>
      </c>
      <c r="H12" s="61">
        <f>'[1]Segment Analysis in THB'!G35</f>
        <v>234697.94899999999</v>
      </c>
      <c r="I12" s="61">
        <f>'[1]Segment Analysis in THB'!H35</f>
        <v>254619.53899999999</v>
      </c>
      <c r="J12" s="61">
        <f>'[5]Conso THB'!$G$145</f>
        <v>286332.272</v>
      </c>
      <c r="K12" s="62">
        <f>'[6]Conso THB'!$H$145</f>
        <v>269105.58499999996</v>
      </c>
      <c r="L12" s="63">
        <f>'[6]Conso THB'!$G$145</f>
        <v>290825.34500000003</v>
      </c>
      <c r="M12" s="61">
        <f>'[1]Segment Analysis in THB'!L35</f>
        <v>55494</v>
      </c>
      <c r="N12" s="61">
        <f>'[1]Segment Analysis in THB'!M35</f>
        <v>56807.148000000001</v>
      </c>
      <c r="O12" s="61">
        <f>'[1]Segment Analysis in THB'!N35</f>
        <v>59181.069999999992</v>
      </c>
      <c r="P12" s="61">
        <f>'[1]Segment Analysis in THB'!O35</f>
        <v>57638.23000000001</v>
      </c>
      <c r="Q12" s="61">
        <f>'[1]Segment Analysis in THB'!P35</f>
        <v>61646.606</v>
      </c>
      <c r="R12" s="61">
        <f>'[1]Segment Analysis in THB'!Q35</f>
        <v>64029.859889935993</v>
      </c>
      <c r="S12" s="61">
        <f>'[1]Segment Analysis in THB'!R35</f>
        <v>63606.215110064019</v>
      </c>
      <c r="T12" s="61">
        <f>'[1]Segment Analysis in THB'!S35</f>
        <v>54624.536664847896</v>
      </c>
      <c r="U12" s="61">
        <f>'[1]Segment Analysis in THB'!T35</f>
        <v>53660.3648109368</v>
      </c>
      <c r="V12" s="61">
        <f>'[1]Segment Analysis in THB'!U35</f>
        <v>61225.241189063199</v>
      </c>
      <c r="W12" s="61">
        <f>'[1]Segment Analysis in THB'!V35</f>
        <v>62333.540304536982</v>
      </c>
      <c r="X12" s="61">
        <f>'[1]Segment Analysis in THB'!W35</f>
        <v>57478.802695463004</v>
      </c>
      <c r="Y12" s="61">
        <f>'[1]Segment Analysis in THB'!X35</f>
        <v>57164.231830578989</v>
      </c>
      <c r="Z12" s="61">
        <f>'[1]Segment Analysis in THB'!Y35</f>
        <v>66730.030342933402</v>
      </c>
      <c r="AA12" s="61">
        <f>'[1]Segment Analysis in THB'!Z35</f>
        <v>65435.834507806205</v>
      </c>
      <c r="AB12" s="61">
        <f>'[1]Segment Analysis in THB'!AA35</f>
        <v>65289.440000000002</v>
      </c>
      <c r="AC12" s="61">
        <f>'[1]Segment Analysis in THB'!AB35</f>
        <v>71650.278999999995</v>
      </c>
      <c r="AD12" s="61">
        <f>'[1]Segment Analysis in THB'!AC35</f>
        <v>71660.810000000012</v>
      </c>
      <c r="AE12" s="61">
        <f>'[1]Segment Analysis in THB'!AD35</f>
        <v>72604.546000000002</v>
      </c>
      <c r="AF12" s="61">
        <f>J12-AC12-AD12-AE12</f>
        <v>70416.637000000017</v>
      </c>
      <c r="AG12" s="64">
        <f>'[1]Segment Analysis in THB'!AF35</f>
        <v>76143.351999999999</v>
      </c>
    </row>
    <row r="13" spans="1:33" hidden="1" outlineLevel="1">
      <c r="B13" s="45"/>
      <c r="C13" s="25"/>
      <c r="D13" s="25"/>
      <c r="E13" s="25"/>
      <c r="F13" s="25"/>
      <c r="G13" s="25"/>
      <c r="H13" s="25"/>
      <c r="I13" s="25"/>
      <c r="J13" s="25"/>
      <c r="K13" s="46"/>
      <c r="L13" s="47"/>
      <c r="M13" s="25"/>
      <c r="N13" s="25"/>
      <c r="O13" s="25"/>
      <c r="P13" s="25"/>
      <c r="Q13" s="25"/>
      <c r="R13" s="25"/>
      <c r="S13" s="25"/>
      <c r="T13" s="25"/>
      <c r="U13" s="25"/>
      <c r="V13" s="25"/>
      <c r="W13" s="25"/>
      <c r="X13" s="25"/>
      <c r="Y13" s="48"/>
      <c r="Z13" s="48"/>
      <c r="AA13" s="48"/>
      <c r="AB13" s="48"/>
      <c r="AC13" s="48"/>
      <c r="AD13" s="48"/>
      <c r="AE13" s="48"/>
      <c r="AF13" s="48"/>
      <c r="AG13" s="49"/>
    </row>
    <row r="14" spans="1:33" hidden="1" outlineLevel="1">
      <c r="B14" s="45"/>
      <c r="C14" s="25"/>
      <c r="D14" s="25"/>
      <c r="E14" s="25"/>
      <c r="F14" s="25"/>
      <c r="G14" s="25"/>
      <c r="H14" s="25"/>
      <c r="I14" s="25"/>
      <c r="J14" s="25"/>
      <c r="K14" s="46"/>
      <c r="L14" s="47"/>
      <c r="M14" s="25"/>
      <c r="N14" s="25"/>
      <c r="O14" s="25"/>
      <c r="P14" s="25"/>
      <c r="Q14" s="25"/>
      <c r="R14" s="25"/>
      <c r="S14" s="25"/>
      <c r="T14" s="25"/>
      <c r="U14" s="25"/>
      <c r="V14" s="25"/>
      <c r="W14" s="25"/>
      <c r="X14" s="25"/>
      <c r="Y14" s="48"/>
      <c r="Z14" s="48"/>
      <c r="AA14" s="48"/>
      <c r="AB14" s="48"/>
      <c r="AC14" s="48"/>
      <c r="AD14" s="48"/>
      <c r="AE14" s="48"/>
      <c r="AF14" s="48"/>
      <c r="AG14" s="49"/>
    </row>
    <row r="15" spans="1:33" s="65" customFormat="1" collapsed="1">
      <c r="A15" s="59" t="s">
        <v>39</v>
      </c>
      <c r="B15" s="60" t="s">
        <v>38</v>
      </c>
      <c r="C15" s="61">
        <f>'[1]Segment Analysis in THB'!B53</f>
        <v>12598.892037187703</v>
      </c>
      <c r="D15" s="61">
        <f>'[1]Segment Analysis in THB'!C53</f>
        <v>16893.61615875503</v>
      </c>
      <c r="E15" s="61">
        <f>'[1]Segment Analysis in THB'!D53</f>
        <v>14341.036854706465</v>
      </c>
      <c r="F15" s="61">
        <f>'[1]Segment Analysis in THB'!E53</f>
        <v>14683.230933748007</v>
      </c>
      <c r="G15" s="61">
        <f>'[1]Segment Analysis in THB'!F53</f>
        <v>18458.275642770226</v>
      </c>
      <c r="H15" s="61">
        <f>'[1]Segment Analysis in THB'!G53</f>
        <v>21957.556401914964</v>
      </c>
      <c r="I15" s="61">
        <f>'[1]Segment Analysis in THB'!H28</f>
        <v>27365.670995187207</v>
      </c>
      <c r="J15" s="61">
        <f>'[5]Conso THB'!$G$153</f>
        <v>34077.450168589407</v>
      </c>
      <c r="K15" s="62">
        <f>'[6]Conso THB'!$H$153</f>
        <v>30243.014795851388</v>
      </c>
      <c r="L15" s="63">
        <f>'[6]Conso THB'!$G$153</f>
        <v>36685.809567314718</v>
      </c>
      <c r="M15" s="61">
        <f>'[1]Segment Analysis in THB'!L53</f>
        <v>2728.9290302383843</v>
      </c>
      <c r="N15" s="61">
        <f>'[1]Segment Analysis in THB'!M53</f>
        <v>3973.8986550615773</v>
      </c>
      <c r="O15" s="61">
        <f>'[1]Segment Analysis in THB'!N53</f>
        <v>3996.4319668739645</v>
      </c>
      <c r="P15" s="61">
        <f>'[1]Segment Analysis in THB'!O53</f>
        <v>3983.9712815740886</v>
      </c>
      <c r="Q15" s="61">
        <f>'[1]Segment Analysis in THB'!P53</f>
        <v>4564.7158750190174</v>
      </c>
      <c r="R15" s="61">
        <f>'[1]Segment Analysis in THB'!Q53</f>
        <v>4967.6911947234566</v>
      </c>
      <c r="S15" s="61">
        <f>'[1]Segment Analysis in THB'!R53</f>
        <v>4351.9445855158519</v>
      </c>
      <c r="T15" s="61">
        <f>'[1]Segment Analysis in THB'!S53</f>
        <v>4573.923987511891</v>
      </c>
      <c r="U15" s="61">
        <f>'[1]Segment Analysis in THB'!T53</f>
        <v>4760.9631841459059</v>
      </c>
      <c r="V15" s="61">
        <f>'[1]Segment Analysis in THB'!U53</f>
        <v>6212.132216600181</v>
      </c>
      <c r="W15" s="61">
        <f>'[1]Segment Analysis in THB'!V53</f>
        <v>5911.347079164846</v>
      </c>
      <c r="X15" s="61">
        <f>'[1]Segment Analysis in THB'!W53</f>
        <v>5073.1139220040222</v>
      </c>
      <c r="Y15" s="61">
        <f>'[1]Segment Analysis in THB'!X53</f>
        <v>4804.096332878582</v>
      </c>
      <c r="Z15" s="61">
        <f>'[1]Segment Analysis in THB'!Y53</f>
        <v>7749.5042689853317</v>
      </c>
      <c r="AA15" s="61">
        <f>'[1]Segment Analysis in THB'!Z53</f>
        <v>7560.9718045045393</v>
      </c>
      <c r="AB15" s="61">
        <f>'[1]Segment Analysis in THB'!AA28</f>
        <v>7251.0985888187515</v>
      </c>
      <c r="AC15" s="61">
        <f>'[1]Segment Analysis in THB'!AB28</f>
        <v>7681.4401338957323</v>
      </c>
      <c r="AD15" s="61">
        <f>'[1]Segment Analysis in THB'!AC28</f>
        <v>8188.6900193756355</v>
      </c>
      <c r="AE15" s="61">
        <f>'[1]Segment Analysis in THB'!AD28</f>
        <v>9771.9235752647492</v>
      </c>
      <c r="AF15" s="61">
        <f>J15-AC15-AD15-AE15</f>
        <v>8435.3964400532877</v>
      </c>
      <c r="AG15" s="64">
        <f>'[1]Segment Analysis in THB'!AF28</f>
        <v>10289.799532620993</v>
      </c>
    </row>
    <row r="16" spans="1:33" s="66" customFormat="1">
      <c r="A16" s="66" t="s">
        <v>40</v>
      </c>
      <c r="B16" s="67" t="s">
        <v>38</v>
      </c>
      <c r="C16" s="68">
        <f>-'[14]Conso THB'!$EP$20</f>
        <v>-3471</v>
      </c>
      <c r="D16" s="68">
        <f>-'[14]Conso THB'!$CZ$20</f>
        <v>-4776</v>
      </c>
      <c r="E16" s="68">
        <f>-'[14]Conso THB'!$BM$20</f>
        <v>-6719.134</v>
      </c>
      <c r="F16" s="68">
        <f>-'[14]Conso THB'!$AC$20-'[8]Restate 2015'!$Q$14/10^3</f>
        <v>-6841.1541942066842</v>
      </c>
      <c r="G16" s="68">
        <f>-'[14]Conso THB'!$AB$20-'[8]Restate 2015'!$H$14/10^3</f>
        <v>-7898.0908924827836</v>
      </c>
      <c r="H16" s="68">
        <f>-'[8]Conso THB'!$G$20</f>
        <v>-9325.0059999999994</v>
      </c>
      <c r="I16" s="68">
        <f>-'[4]Conso THB'!$G$20</f>
        <v>-11061.434999999999</v>
      </c>
      <c r="J16" s="68">
        <f>-'[5]Conso THB'!$G$20</f>
        <v>-12108.697</v>
      </c>
      <c r="K16" s="69">
        <f>-'[6]Conso THB'!$H$20</f>
        <v>-11528.424999999999</v>
      </c>
      <c r="L16" s="70">
        <f>-'[6]Conso THB'!$G$20</f>
        <v>-12350.315000000001</v>
      </c>
      <c r="M16" s="68">
        <f>-'[14]Conso THB'!$BC$20</f>
        <v>-1723</v>
      </c>
      <c r="N16" s="68">
        <f>-'[14]Conso THB'!$AQ$20</f>
        <v>-1650.4990000000003</v>
      </c>
      <c r="O16" s="68">
        <f>-'[14]Conso THB'!$AH$20</f>
        <v>-1796.0149999999999</v>
      </c>
      <c r="P16" s="68">
        <f>-'[14]Conso THB'!$Y$20</f>
        <v>-1881.6859999999997</v>
      </c>
      <c r="Q16" s="68">
        <f>-'[14]Conso THB'!$P$20-'[12]Restate 2015'!$B$14/1000</f>
        <v>-1868.6755188157856</v>
      </c>
      <c r="R16" s="68">
        <f>-'[14]Conso THB'!$D$20-'[12]Restate 2015'!$C$14/1000</f>
        <v>-1995.1601315485984</v>
      </c>
      <c r="S16" s="68">
        <f>-'[14]Conso THB'!$X$20-'[12]Restate 2015'!$E$14/1000</f>
        <v>-2035.2067541215606</v>
      </c>
      <c r="T16" s="68">
        <f>-'[14]Conso THB'!$O$20-'[12]Restate 2015'!$G$14/1000</f>
        <v>-1999.048487996839</v>
      </c>
      <c r="U16" s="68">
        <f>-'[9]Conso THB'!$D$20</f>
        <v>-2058.8585335106204</v>
      </c>
      <c r="V16" s="68">
        <f>-'[11]Conso THB'!$P$20</f>
        <v>-2360.9214664893798</v>
      </c>
      <c r="W16" s="68">
        <f>-'[11]Conso THB'!$D$20</f>
        <v>-2398.123</v>
      </c>
      <c r="X16" s="68">
        <f>H16-U16-V16-W16</f>
        <v>-2507.1029999999996</v>
      </c>
      <c r="Y16" s="68">
        <f>-'[9]Conso THB'!$B$20</f>
        <v>-2342.018</v>
      </c>
      <c r="Z16" s="68">
        <f>-'[10]Conso THB'!$B$20</f>
        <v>-2945.6260000000002</v>
      </c>
      <c r="AA16" s="68">
        <f>-'[11]Conso THB'!$B$20</f>
        <v>-2837.0637669999996</v>
      </c>
      <c r="AB16" s="68">
        <f>I16-Y16-Z16-AA16</f>
        <v>-2936.7272329999996</v>
      </c>
      <c r="AC16" s="68">
        <f>-'[15]Conso THB'!$B$20</f>
        <v>-2809.0079999999998</v>
      </c>
      <c r="AD16" s="68">
        <f>-'[12]Conso THB'!$B$20</f>
        <v>-2874.5037870000006</v>
      </c>
      <c r="AE16" s="68">
        <f>-'[13]Conso THB'!$B$20</f>
        <v>-3132.222213</v>
      </c>
      <c r="AF16" s="68">
        <f>J16-AC16-AD16-AE16</f>
        <v>-3292.9629999999997</v>
      </c>
      <c r="AG16" s="71">
        <f>-'[6]Conso THB'!$B$20</f>
        <v>-3050.6260000000002</v>
      </c>
    </row>
    <row r="17" spans="1:34" s="65" customFormat="1">
      <c r="A17" s="59" t="s">
        <v>41</v>
      </c>
      <c r="B17" s="60" t="s">
        <v>38</v>
      </c>
      <c r="C17" s="61">
        <f t="shared" ref="C17:I17" si="2">C15+C16</f>
        <v>9127.892037187703</v>
      </c>
      <c r="D17" s="61">
        <f t="shared" si="2"/>
        <v>12117.61615875503</v>
      </c>
      <c r="E17" s="61">
        <f t="shared" si="2"/>
        <v>7621.9028547064645</v>
      </c>
      <c r="F17" s="61">
        <f t="shared" si="2"/>
        <v>7842.0767395413231</v>
      </c>
      <c r="G17" s="61">
        <f t="shared" si="2"/>
        <v>10560.184750287443</v>
      </c>
      <c r="H17" s="61">
        <f t="shared" si="2"/>
        <v>12632.550401914965</v>
      </c>
      <c r="I17" s="61">
        <f t="shared" si="2"/>
        <v>16304.235995187208</v>
      </c>
      <c r="J17" s="61">
        <f>J15+J16</f>
        <v>21968.753168589406</v>
      </c>
      <c r="K17" s="62">
        <f>K15+K16</f>
        <v>18714.589795851389</v>
      </c>
      <c r="L17" s="63">
        <f>L15+L16</f>
        <v>24335.494567314716</v>
      </c>
      <c r="M17" s="61">
        <f t="shared" ref="M17:AE17" si="3">M15+M16</f>
        <v>1005.9290302383843</v>
      </c>
      <c r="N17" s="61">
        <f t="shared" si="3"/>
        <v>2323.3996550615771</v>
      </c>
      <c r="O17" s="61">
        <f t="shared" si="3"/>
        <v>2200.4169668739646</v>
      </c>
      <c r="P17" s="61">
        <f t="shared" si="3"/>
        <v>2102.2852815740889</v>
      </c>
      <c r="Q17" s="61">
        <f t="shared" si="3"/>
        <v>2696.0403562032316</v>
      </c>
      <c r="R17" s="61">
        <f t="shared" si="3"/>
        <v>2972.531063174858</v>
      </c>
      <c r="S17" s="61">
        <f t="shared" si="3"/>
        <v>2316.7378313942913</v>
      </c>
      <c r="T17" s="61">
        <f t="shared" si="3"/>
        <v>2574.8754995150521</v>
      </c>
      <c r="U17" s="61">
        <f t="shared" si="3"/>
        <v>2702.1046506352855</v>
      </c>
      <c r="V17" s="61">
        <f t="shared" si="3"/>
        <v>3851.2107501108012</v>
      </c>
      <c r="W17" s="61">
        <f t="shared" si="3"/>
        <v>3513.224079164846</v>
      </c>
      <c r="X17" s="61">
        <f t="shared" si="3"/>
        <v>2566.0109220040226</v>
      </c>
      <c r="Y17" s="61">
        <f t="shared" si="3"/>
        <v>2462.0783328785819</v>
      </c>
      <c r="Z17" s="61">
        <f t="shared" si="3"/>
        <v>4803.8782689853315</v>
      </c>
      <c r="AA17" s="61">
        <f t="shared" si="3"/>
        <v>4723.9080375045396</v>
      </c>
      <c r="AB17" s="61">
        <f t="shared" si="3"/>
        <v>4314.3713558187519</v>
      </c>
      <c r="AC17" s="61">
        <f t="shared" si="3"/>
        <v>4872.4321338957325</v>
      </c>
      <c r="AD17" s="61">
        <f t="shared" si="3"/>
        <v>5314.186232375635</v>
      </c>
      <c r="AE17" s="61">
        <f t="shared" si="3"/>
        <v>6639.7013622647492</v>
      </c>
      <c r="AF17" s="61">
        <f>AF15+AF16</f>
        <v>5142.433440053288</v>
      </c>
      <c r="AG17" s="64">
        <f t="shared" ref="AG17" si="4">AG15+AG16</f>
        <v>7239.1735326209928</v>
      </c>
    </row>
    <row r="18" spans="1:34" s="66" customFormat="1">
      <c r="A18" s="66" t="s">
        <v>42</v>
      </c>
      <c r="B18" s="67" t="s">
        <v>38</v>
      </c>
      <c r="C18" s="72">
        <f>-'[14]Conso THB'!$EP$25+'[14]Conso THB'!$EP$24</f>
        <v>-1296</v>
      </c>
      <c r="D18" s="72">
        <f>-'[14]Conso THB'!$CZ$25+'[14]Conso THB'!$CZ$24</f>
        <v>-1883</v>
      </c>
      <c r="E18" s="72">
        <f>-'[14]Conso THB'!$BM$25+'[14]Conso THB'!$BM$24</f>
        <v>-3174.52</v>
      </c>
      <c r="F18" s="72">
        <f>-'[14]Conso THB'!$AC$25+'[14]Conso THB'!$AC$24</f>
        <v>-3627.252</v>
      </c>
      <c r="G18" s="72">
        <f>-'[14]Conso THB'!$AB$25+'[14]Conso THB'!$AB$24</f>
        <v>-3480.7125652115283</v>
      </c>
      <c r="H18" s="72">
        <f>-'[8]Conso THB'!$G$25+'[8]Conso THB'!$G$24</f>
        <v>-3580.3270000000002</v>
      </c>
      <c r="I18" s="72">
        <f>-'[4]Conso THB'!$G$25+'[4]Conso THB'!$G$24</f>
        <v>-4097.96</v>
      </c>
      <c r="J18" s="72">
        <f>-'[5]Conso THB'!$G$25+'[5]Conso THB'!$G$24</f>
        <v>-3762.0390000000002</v>
      </c>
      <c r="K18" s="73">
        <f>-'[6]Conso THB'!$H$25+'[6]Conso THB'!$H$24</f>
        <v>-4136.5429999999997</v>
      </c>
      <c r="L18" s="74">
        <f>-'[6]Conso THB'!$G$25+'[6]Conso THB'!$G$24</f>
        <v>-3630.7080000000005</v>
      </c>
      <c r="M18" s="72">
        <f>-'[14]Conso THB'!$BC$25+'[14]Conso THB'!$BC$24</f>
        <v>-808</v>
      </c>
      <c r="N18" s="72">
        <f>-'[14]Conso THB'!$AQ$25+'[14]Conso THB'!$AQ$24</f>
        <v>-890.20799999999997</v>
      </c>
      <c r="O18" s="72">
        <f>-'[14]Conso THB'!$AH$25+'[14]Conso THB'!$AH$24</f>
        <v>-894.39800000000014</v>
      </c>
      <c r="P18" s="72">
        <f>-'[14]Conso THB'!$Y$25+'[14]Conso THB'!$Y$24</f>
        <v>-1034.646</v>
      </c>
      <c r="Q18" s="72">
        <f>-'[14]Conso THB'!$P$25+'[14]Conso THB'!$P$24</f>
        <v>-855.54600000000005</v>
      </c>
      <c r="R18" s="72">
        <f>-'[14]Conso THB'!$D$25+'[14]Conso THB'!$D$24</f>
        <v>-906.56</v>
      </c>
      <c r="S18" s="72">
        <f>-'[14]Conso THB'!$X$25+'[14]Conso THB'!$X$24</f>
        <v>-891.04800000000012</v>
      </c>
      <c r="T18" s="72">
        <f>-'[14]Conso THB'!$O$25+'[14]Conso THB'!$O$24</f>
        <v>-827.55856521152816</v>
      </c>
      <c r="U18" s="72">
        <f>-'[14]Conso THB'!$C$25+'[14]Conso THB'!$C$24</f>
        <v>-816.24099999999999</v>
      </c>
      <c r="V18" s="72">
        <f>-'[14]Conso THB'!$B$25+'[14]Conso THB'!$B$24</f>
        <v>-892.27700000000016</v>
      </c>
      <c r="W18" s="72">
        <f>-'[7]Conso THB'!$B$25+'[7]Conso THB'!$B$24</f>
        <v>-904.83296968436878</v>
      </c>
      <c r="X18" s="75">
        <f>-'[8]Conso THB'!$B$25+'[8]Conso THB'!$B$24</f>
        <v>-966.97603031563108</v>
      </c>
      <c r="Y18" s="75">
        <f>-('[9]Conso THB'!$B$25-'[9]Conso THB'!$B$24)</f>
        <v>-946.87699999999995</v>
      </c>
      <c r="Z18" s="75">
        <f>-('[10]Conso THB'!$B$25-'[10]Conso THB'!$B$24)</f>
        <v>-1076.7414327167448</v>
      </c>
      <c r="AA18" s="75">
        <f>-('[11]Conso THB'!$B$25-'[11]Conso THB'!$B$24)</f>
        <v>-1062.553567283255</v>
      </c>
      <c r="AB18" s="75">
        <f t="shared" ref="AB18:AB25" si="5">I18-Y18-Z18-AA18</f>
        <v>-1011.7880000000002</v>
      </c>
      <c r="AC18" s="75">
        <f>-('[15]Conso THB'!$B$25-'[15]Conso THB'!$B$24)</f>
        <v>-985.45999999999992</v>
      </c>
      <c r="AD18" s="75">
        <f>-('[12]Conso THB'!$B$25-'[12]Conso THB'!$B$24)</f>
        <v>-981.21041957443924</v>
      </c>
      <c r="AE18" s="75">
        <f>-'[13]Conso THB'!$B$25+'[13]Conso THB'!$B$24</f>
        <v>-953.43658042556103</v>
      </c>
      <c r="AF18" s="75">
        <f>J18-AC18-AD18-AE18</f>
        <v>-841.93200000000002</v>
      </c>
      <c r="AG18" s="76">
        <f>-'[6]Conso THB'!$B$25+'[6]Conso THB'!$B$24</f>
        <v>-854.12900000000002</v>
      </c>
    </row>
    <row r="19" spans="1:34" s="66" customFormat="1">
      <c r="A19" s="66" t="s">
        <v>43</v>
      </c>
      <c r="B19" s="67" t="s">
        <v>38</v>
      </c>
      <c r="C19" s="68">
        <f>'[14]Conso THB'!$EP$22</f>
        <v>0</v>
      </c>
      <c r="D19" s="68">
        <f>'[14]Conso THB'!$CZ$22</f>
        <v>-303</v>
      </c>
      <c r="E19" s="68">
        <f>'[14]Conso THB'!$BM$22</f>
        <v>-889.11</v>
      </c>
      <c r="F19" s="68">
        <f>'[14]Conso THB'!$AC$22</f>
        <v>-740.61799999999994</v>
      </c>
      <c r="G19" s="68">
        <f>'[14]Conso THB'!$AB$22</f>
        <v>-936.66100000000006</v>
      </c>
      <c r="H19" s="68">
        <f>'[8]Conso THB'!$G$22</f>
        <v>-396.33799999999997</v>
      </c>
      <c r="I19" s="68">
        <f>'[4]Conso THB'!$G$22</f>
        <v>-173.07599999999999</v>
      </c>
      <c r="J19" s="68">
        <f>'[5]Conso THB'!$G$22</f>
        <v>28.405000000000001</v>
      </c>
      <c r="K19" s="69">
        <f>'[6]Conso THB'!$H$22</f>
        <v>-0.70499999999999474</v>
      </c>
      <c r="L19" s="70">
        <f>'[6]Conso THB'!$G$22</f>
        <v>-160.273</v>
      </c>
      <c r="M19" s="68">
        <f>'[14]Conso THB'!$BC$22</f>
        <v>-177</v>
      </c>
      <c r="N19" s="68">
        <f>'[14]Conso THB'!$AQ$22</f>
        <v>-79.262999999999977</v>
      </c>
      <c r="O19" s="68">
        <f>'[14]Conso THB'!$AH$22</f>
        <v>-205.91300000000001</v>
      </c>
      <c r="P19" s="68">
        <f>'[14]Conso THB'!$Y$22</f>
        <v>-278.44199999999995</v>
      </c>
      <c r="Q19" s="68">
        <f>'[14]Conso THB'!$P$22</f>
        <v>-235.727</v>
      </c>
      <c r="R19" s="68">
        <f>'[14]Conso THB'!$D$22</f>
        <v>-203.97099999999998</v>
      </c>
      <c r="S19" s="68">
        <f>'[14]Conso THB'!$X$22</f>
        <v>-131.61800000000005</v>
      </c>
      <c r="T19" s="68">
        <f>'[14]Conso THB'!$O$22</f>
        <v>-365.34500000000003</v>
      </c>
      <c r="U19" s="68">
        <f>'[14]Conso THB'!$C$22</f>
        <v>-91.778000000000006</v>
      </c>
      <c r="V19" s="68">
        <f>'[14]Conso THB'!$B$22</f>
        <v>-31.884</v>
      </c>
      <c r="W19" s="68">
        <f>'[7]Conso THB'!$B$22</f>
        <v>-124.28400000000001</v>
      </c>
      <c r="X19" s="68">
        <f>'[8]Conso THB'!$B$22</f>
        <v>-148.39199999999997</v>
      </c>
      <c r="Y19" s="68">
        <f>'[9]Conso THB'!$B$22</f>
        <v>-25.888999999999999</v>
      </c>
      <c r="Z19" s="68">
        <f>'[10]Conso THB'!$B$22</f>
        <v>-44.401466595070929</v>
      </c>
      <c r="AA19" s="68">
        <f>'[11]Conso THB'!$B$22</f>
        <v>-54.186533404929079</v>
      </c>
      <c r="AB19" s="68">
        <f t="shared" si="5"/>
        <v>-48.598999999999975</v>
      </c>
      <c r="AC19" s="68">
        <f>'[15]Conso THB'!$B$22</f>
        <v>146.482</v>
      </c>
      <c r="AD19" s="68">
        <f>'[12]Conso THB'!$B$22</f>
        <v>-120.08924834169301</v>
      </c>
      <c r="AE19" s="68">
        <f>'[13]Conso THB'!$B$22</f>
        <v>46.673248341693004</v>
      </c>
      <c r="AF19" s="68">
        <f>J19-AC19-AD19-AE19</f>
        <v>-44.660999999999994</v>
      </c>
      <c r="AG19" s="71">
        <f>'[6]Conso THB'!$B$22</f>
        <v>-42.195999999999998</v>
      </c>
    </row>
    <row r="20" spans="1:34" s="65" customFormat="1">
      <c r="A20" s="59" t="s">
        <v>44</v>
      </c>
      <c r="B20" s="60" t="s">
        <v>38</v>
      </c>
      <c r="C20" s="61">
        <f t="shared" ref="C20:W20" si="6">C17+C18+C19</f>
        <v>7831.892037187703</v>
      </c>
      <c r="D20" s="61">
        <f t="shared" si="6"/>
        <v>9931.6161587550305</v>
      </c>
      <c r="E20" s="61">
        <f t="shared" si="6"/>
        <v>3558.2728547064639</v>
      </c>
      <c r="F20" s="61">
        <f t="shared" si="6"/>
        <v>3474.2067395413237</v>
      </c>
      <c r="G20" s="61">
        <f t="shared" si="6"/>
        <v>6142.8111850759142</v>
      </c>
      <c r="H20" s="61">
        <f t="shared" si="6"/>
        <v>8655.8854019149658</v>
      </c>
      <c r="I20" s="61">
        <f t="shared" si="6"/>
        <v>12033.199995187208</v>
      </c>
      <c r="J20" s="61">
        <f t="shared" si="6"/>
        <v>18235.119168589405</v>
      </c>
      <c r="K20" s="62">
        <f t="shared" si="6"/>
        <v>14577.341795851389</v>
      </c>
      <c r="L20" s="63">
        <f t="shared" si="6"/>
        <v>20544.513567314716</v>
      </c>
      <c r="M20" s="61">
        <f t="shared" si="6"/>
        <v>20.929030238384257</v>
      </c>
      <c r="N20" s="61">
        <f t="shared" si="6"/>
        <v>1353.928655061577</v>
      </c>
      <c r="O20" s="61">
        <f t="shared" si="6"/>
        <v>1100.1059668739645</v>
      </c>
      <c r="P20" s="61">
        <f t="shared" si="6"/>
        <v>789.19728157408895</v>
      </c>
      <c r="Q20" s="61">
        <f t="shared" si="6"/>
        <v>1604.7673562032314</v>
      </c>
      <c r="R20" s="61">
        <f t="shared" si="6"/>
        <v>1862.000063174858</v>
      </c>
      <c r="S20" s="61">
        <f t="shared" si="6"/>
        <v>1294.0718313942912</v>
      </c>
      <c r="T20" s="61">
        <f t="shared" si="6"/>
        <v>1381.9719343035238</v>
      </c>
      <c r="U20" s="61">
        <f t="shared" si="6"/>
        <v>1794.0856506352854</v>
      </c>
      <c r="V20" s="61">
        <f t="shared" si="6"/>
        <v>2927.0497501108011</v>
      </c>
      <c r="W20" s="61">
        <f t="shared" si="6"/>
        <v>2484.107109480477</v>
      </c>
      <c r="X20" s="61">
        <f>X17+X18+X19</f>
        <v>1450.6428916883915</v>
      </c>
      <c r="Y20" s="61">
        <f t="shared" ref="Y20:AE20" si="7">Y17+Y18+Y19</f>
        <v>1489.3123328785821</v>
      </c>
      <c r="Z20" s="61">
        <f t="shared" si="7"/>
        <v>3682.7353696735158</v>
      </c>
      <c r="AA20" s="61">
        <f t="shared" si="7"/>
        <v>3607.1679368163559</v>
      </c>
      <c r="AB20" s="61">
        <f t="shared" si="7"/>
        <v>3253.9843558187513</v>
      </c>
      <c r="AC20" s="61">
        <f t="shared" si="7"/>
        <v>4033.4541338957324</v>
      </c>
      <c r="AD20" s="61">
        <f t="shared" si="7"/>
        <v>4212.8865644595026</v>
      </c>
      <c r="AE20" s="61">
        <f t="shared" si="7"/>
        <v>5732.9380301808806</v>
      </c>
      <c r="AF20" s="61">
        <f>AF17+AF18+AF19</f>
        <v>4255.8404400532881</v>
      </c>
      <c r="AG20" s="64">
        <f t="shared" ref="AG20" si="8">AG17+AG18+AG19</f>
        <v>6342.848532620993</v>
      </c>
    </row>
    <row r="21" spans="1:34" s="66" customFormat="1">
      <c r="A21" s="66" t="s">
        <v>45</v>
      </c>
      <c r="B21" s="67" t="s">
        <v>38</v>
      </c>
      <c r="C21" s="72">
        <f>-'[14]Conso THB'!$EP$27</f>
        <v>-488</v>
      </c>
      <c r="D21" s="72">
        <f>-'[14]Conso THB'!$CZ$27</f>
        <v>-742</v>
      </c>
      <c r="E21" s="72">
        <f>-'[14]Conso THB'!$BM$27</f>
        <v>-579.75699999999995</v>
      </c>
      <c r="F21" s="72">
        <f>-'[14]Conso THB'!$AC$27</f>
        <v>-302.488</v>
      </c>
      <c r="G21" s="72">
        <f>-'[14]Conso THB'!$AB$27</f>
        <v>-451.21590480265303</v>
      </c>
      <c r="H21" s="72">
        <f>-'[8]Conso THB'!$G$27</f>
        <v>-826.68800011950805</v>
      </c>
      <c r="I21" s="72">
        <f>-'[4]Conso THB'!$G$27</f>
        <v>-1313.491</v>
      </c>
      <c r="J21" s="72">
        <f>-'[5]Conso THB'!$G$27</f>
        <v>-2850.4249850000001</v>
      </c>
      <c r="K21" s="73">
        <f>-'[6]Conso THB'!$H$27</f>
        <v>-1616.11718</v>
      </c>
      <c r="L21" s="74">
        <f>-'[6]Conso THB'!$G$27</f>
        <v>-3170.6016740000005</v>
      </c>
      <c r="M21" s="72">
        <f>-'[14]Conso THB'!$BC$27</f>
        <v>-77.275999999999996</v>
      </c>
      <c r="N21" s="72">
        <f>-'[14]Conso THB'!$AQ$27</f>
        <v>-102.13000000000001</v>
      </c>
      <c r="O21" s="72">
        <f>-'[14]Conso THB'!$AH$27</f>
        <v>-148.04000000000002</v>
      </c>
      <c r="P21" s="72">
        <f>-'[14]Conso THB'!$Y$27</f>
        <v>24.958000000000027</v>
      </c>
      <c r="Q21" s="72">
        <f>-'[14]Conso THB'!$P$27</f>
        <v>-107.085013</v>
      </c>
      <c r="R21" s="72">
        <f>-'[14]Conso THB'!$D$27</f>
        <v>-204.29498699999999</v>
      </c>
      <c r="S21" s="72">
        <f>-'[14]Conso THB'!$X$27</f>
        <v>-178.54470904200002</v>
      </c>
      <c r="T21" s="72">
        <f>-'[14]Conso THB'!$O$27</f>
        <v>38.708804239346989</v>
      </c>
      <c r="U21" s="72">
        <f>-'[14]Conso THB'!$C$27</f>
        <v>-169.807561386749</v>
      </c>
      <c r="V21" s="72">
        <f>-'[14]Conso THB'!$B$27</f>
        <v>-283.12132261325098</v>
      </c>
      <c r="W21" s="72">
        <f>-'[7]Conso THB'!$B$27</f>
        <v>-270.34557582981807</v>
      </c>
      <c r="X21" s="72">
        <f>-'[8]Conso THB'!$B$27</f>
        <v>-103.41354028968999</v>
      </c>
      <c r="Y21" s="72">
        <f>-'[9]Conso THB'!$B$27</f>
        <v>-211.22981999999999</v>
      </c>
      <c r="Z21" s="72">
        <f>-'[10]Conso THB'!$B$27</f>
        <v>-679.55443700000001</v>
      </c>
      <c r="AA21" s="72">
        <f>-'[11]Conso THB'!$B$27</f>
        <v>-323.81322699999987</v>
      </c>
      <c r="AB21" s="72">
        <f t="shared" si="5"/>
        <v>-98.893516000000091</v>
      </c>
      <c r="AC21" s="72">
        <f>-'[15]Conso THB'!$B$27</f>
        <v>-513.85599999999999</v>
      </c>
      <c r="AD21" s="72">
        <f>-'[12]Conso THB'!$B$27</f>
        <v>-592.9243899999999</v>
      </c>
      <c r="AE21" s="72">
        <f>-'[13]Conso THB'!$B$27</f>
        <v>-642.02555300000017</v>
      </c>
      <c r="AF21" s="72">
        <f t="shared" ref="AF21:AF25" si="9">J21-AC21-AD21-AE21</f>
        <v>-1101.6190419999998</v>
      </c>
      <c r="AG21" s="76">
        <f>-'[6]Conso THB'!$B$27</f>
        <v>-834.032689</v>
      </c>
    </row>
    <row r="22" spans="1:34" s="66" customFormat="1" ht="15" customHeight="1">
      <c r="A22" s="66" t="s">
        <v>46</v>
      </c>
      <c r="B22" s="67" t="s">
        <v>38</v>
      </c>
      <c r="C22" s="77"/>
      <c r="D22" s="77"/>
      <c r="E22" s="72">
        <f>-'[14]Conso THB'!$BM$28</f>
        <v>-1492.046</v>
      </c>
      <c r="F22" s="72">
        <f>-'[14]Conso THB'!$AC$28-'[8]Restate 2015'!$Q$15/10^3</f>
        <v>-1003.7671162957394</v>
      </c>
      <c r="G22" s="72">
        <f>-'[14]Conso THB'!$AB$28-'[8]Restate 2015'!$H$15/10^3</f>
        <v>-1174.151767077024</v>
      </c>
      <c r="H22" s="72">
        <f>-'[8]Conso THB'!$G$28</f>
        <v>-800.85736172374004</v>
      </c>
      <c r="I22" s="72">
        <f>-'[4]Conso THB'!$G$28</f>
        <v>-960.61599999999999</v>
      </c>
      <c r="J22" s="72">
        <f>-'[5]Conso THB'!$G$28</f>
        <v>217.68077799999958</v>
      </c>
      <c r="K22" s="73">
        <f>-'[6]Conso THB'!$H$28</f>
        <v>-1360.8943670000001</v>
      </c>
      <c r="L22" s="74">
        <f>-'[6]Conso THB'!$G$28</f>
        <v>506.95421199999959</v>
      </c>
      <c r="M22" s="72">
        <f>-'[14]Conso THB'!$BC$28</f>
        <v>-110.866</v>
      </c>
      <c r="N22" s="72">
        <f>-'[14]Conso THB'!$AQ$28</f>
        <v>-289.41900000000004</v>
      </c>
      <c r="O22" s="72">
        <f>-'[14]Conso THB'!$AH$28</f>
        <v>-226.82599999999996</v>
      </c>
      <c r="P22" s="72">
        <f>-'[14]Conso THB'!$Y$28</f>
        <v>-364.29300000000001</v>
      </c>
      <c r="Q22" s="72">
        <f>-'[14]Conso THB'!$P$28-'[12]Restate 2015'!$B$15/1000</f>
        <v>-370.31257488070378</v>
      </c>
      <c r="R22" s="72">
        <f>-'[14]Conso THB'!$D$28-'[12]Restate 2015'!$C$15/1000</f>
        <v>-305.2540988600083</v>
      </c>
      <c r="S22" s="72">
        <f>-'[14]Conso THB'!$X$28-'[12]Restate 2015'!$E$15/1000</f>
        <v>-141.69036725951264</v>
      </c>
      <c r="T22" s="72">
        <f>-'[14]Conso THB'!$O$28-'[12]Restate 2015'!$G$15/1000</f>
        <v>-356.89472607679932</v>
      </c>
      <c r="U22" s="75">
        <f>-'[9]Conso THB'!$D$28</f>
        <v>-193.48131441157298</v>
      </c>
      <c r="V22" s="75">
        <f>H22-(U22+W22+X22)</f>
        <v>-778.7206191089067</v>
      </c>
      <c r="W22" s="72">
        <f>-'[7]Conso THB'!$B$28-'[8]Restate 2015'!$L$15/1000</f>
        <v>-273.1084937898604</v>
      </c>
      <c r="X22" s="72">
        <f>-'[8]Conso THB'!$B$28</f>
        <v>444.45306558660002</v>
      </c>
      <c r="Y22" s="72">
        <f>-'[9]Conso THB'!$B$28</f>
        <v>63.875366999999997</v>
      </c>
      <c r="Z22" s="72">
        <f>-'[10]Conso THB'!$B$28</f>
        <v>-121.453535</v>
      </c>
      <c r="AA22" s="72">
        <f>-'[11]Conso THB'!$B$28</f>
        <v>-321.15018500000002</v>
      </c>
      <c r="AB22" s="72">
        <f t="shared" si="5"/>
        <v>-581.88764700000002</v>
      </c>
      <c r="AC22" s="72">
        <f>-'[15]Conso THB'!$B$28</f>
        <v>-336.40300000000002</v>
      </c>
      <c r="AD22" s="72">
        <f>-'[12]Conso THB'!$B$28</f>
        <v>263.51481699999999</v>
      </c>
      <c r="AE22" s="72">
        <f>-'[13]Conso THB'!$B$28</f>
        <v>-424.43402800000001</v>
      </c>
      <c r="AF22" s="72">
        <f t="shared" si="9"/>
        <v>715.00298899999962</v>
      </c>
      <c r="AG22" s="76">
        <f>-'[6]Conso THB'!$B$28</f>
        <v>-47.129565999999997</v>
      </c>
    </row>
    <row r="23" spans="1:34" s="66" customFormat="1">
      <c r="A23" s="66" t="s">
        <v>47</v>
      </c>
      <c r="B23" s="67" t="s">
        <v>38</v>
      </c>
      <c r="C23" s="68"/>
      <c r="D23" s="68"/>
      <c r="E23" s="68">
        <f>'[4]By company'!$X$2322</f>
        <v>115.94154581464539</v>
      </c>
      <c r="F23" s="68">
        <f>'[4]By company'!$AC$2322</f>
        <v>-268.25934087467289</v>
      </c>
      <c r="G23" s="68">
        <f>'[4]By company'!$AH$2322</f>
        <v>-390.89143822891293</v>
      </c>
      <c r="H23" s="68">
        <f>'[4]By company'!$AM$2322</f>
        <v>-593.1190370836897</v>
      </c>
      <c r="I23" s="68">
        <f>'[4]By company'!$AR$2322</f>
        <v>56.347497756833029</v>
      </c>
      <c r="J23" s="68">
        <f>'[5]By company'!$AW$2512</f>
        <v>169.15565555441154</v>
      </c>
      <c r="K23" s="69">
        <f>'[6]By company'!$AZ$2584</f>
        <v>324.79291386829112</v>
      </c>
      <c r="L23" s="70">
        <f>'[6]By company'!$AY$2584</f>
        <v>53.381799068401349</v>
      </c>
      <c r="M23" s="68">
        <f>'[4]By company'!Y2322</f>
        <v>54.737027409069398</v>
      </c>
      <c r="N23" s="68">
        <f>'[4]By company'!Z2322</f>
        <v>-201.26483777382106</v>
      </c>
      <c r="O23" s="68">
        <f>'[4]By company'!AA2322</f>
        <v>-97.511427262966478</v>
      </c>
      <c r="P23" s="68">
        <f>'[4]By company'!AB2322</f>
        <v>-24.220103246954764</v>
      </c>
      <c r="Q23" s="68">
        <f>'[4]By company'!AD2322</f>
        <v>-117.0512447811938</v>
      </c>
      <c r="R23" s="68">
        <f>'[4]By company'!AE2322</f>
        <v>19.940306716824125</v>
      </c>
      <c r="S23" s="68">
        <f>'[4]By company'!AF2322</f>
        <v>29.630653385480542</v>
      </c>
      <c r="T23" s="68">
        <f>'[4]By company'!AG2322</f>
        <v>-323.41115355002376</v>
      </c>
      <c r="U23" s="68">
        <f>'[4]By company'!AI2322</f>
        <v>-375.75253516743965</v>
      </c>
      <c r="V23" s="68">
        <f>'[4]By company'!AJ2322</f>
        <v>258.45259906219889</v>
      </c>
      <c r="W23" s="68">
        <f>'[4]By company'!AK2322</f>
        <v>-250.62671858673917</v>
      </c>
      <c r="X23" s="68">
        <f>'[4]By company'!AL2322</f>
        <v>-225.19238239170977</v>
      </c>
      <c r="Y23" s="68">
        <f>'[4]By company'!AN2322</f>
        <v>-59.087616091598122</v>
      </c>
      <c r="Z23" s="68">
        <f>'[4]By company'!AO2322</f>
        <v>134.87334143073096</v>
      </c>
      <c r="AA23" s="68">
        <f>'[4]By company'!AP2322</f>
        <v>-60.815246784481374</v>
      </c>
      <c r="AB23" s="68">
        <f>'[4]By company'!AQ2322</f>
        <v>41.377019202181557</v>
      </c>
      <c r="AC23" s="68">
        <f>'[15]By company'!AS2322</f>
        <v>209.35759774103565</v>
      </c>
      <c r="AD23" s="68">
        <f>'[12]By company'!AT2368</f>
        <v>-45.830441508645691</v>
      </c>
      <c r="AE23" s="68">
        <f>'[13]By company'!$AU$2441</f>
        <v>-18.245909103051332</v>
      </c>
      <c r="AF23" s="68">
        <f t="shared" si="9"/>
        <v>23.874408425072914</v>
      </c>
      <c r="AG23" s="71">
        <f>'[6]By company'!$AX$2584</f>
        <v>93.583741255025458</v>
      </c>
    </row>
    <row r="24" spans="1:34" s="65" customFormat="1">
      <c r="A24" s="59" t="s">
        <v>48</v>
      </c>
      <c r="B24" s="60" t="s">
        <v>38</v>
      </c>
      <c r="C24" s="61">
        <f>SUM(C20:C23)</f>
        <v>7343.892037187703</v>
      </c>
      <c r="D24" s="61">
        <f t="shared" ref="D24:H24" si="10">SUM(D20:D23)</f>
        <v>9189.6161587550305</v>
      </c>
      <c r="E24" s="61">
        <f t="shared" si="10"/>
        <v>1602.4114005211093</v>
      </c>
      <c r="F24" s="61">
        <f t="shared" si="10"/>
        <v>1899.6922823709115</v>
      </c>
      <c r="G24" s="61">
        <f t="shared" si="10"/>
        <v>4126.5520749673233</v>
      </c>
      <c r="H24" s="61">
        <f t="shared" si="10"/>
        <v>6435.2210029880289</v>
      </c>
      <c r="I24" s="61">
        <f>SUM(I20:I23)</f>
        <v>9815.4404929440407</v>
      </c>
      <c r="J24" s="61">
        <f>SUM(J20:J23)</f>
        <v>15771.530617143817</v>
      </c>
      <c r="K24" s="62">
        <f>SUM(K20:K23)</f>
        <v>11925.123162719679</v>
      </c>
      <c r="L24" s="63">
        <f>SUM(L20:L23)</f>
        <v>17934.247904383115</v>
      </c>
      <c r="M24" s="61">
        <f t="shared" ref="M24:AE24" si="11">SUM(M20:M23)</f>
        <v>-112.47594235254634</v>
      </c>
      <c r="N24" s="61">
        <f t="shared" si="11"/>
        <v>761.11481728775584</v>
      </c>
      <c r="O24" s="61">
        <f t="shared" si="11"/>
        <v>627.72853961099804</v>
      </c>
      <c r="P24" s="61">
        <f t="shared" si="11"/>
        <v>425.64217832713427</v>
      </c>
      <c r="Q24" s="61">
        <f t="shared" si="11"/>
        <v>1010.318523541334</v>
      </c>
      <c r="R24" s="61">
        <f t="shared" si="11"/>
        <v>1372.3912840316739</v>
      </c>
      <c r="S24" s="61">
        <f t="shared" si="11"/>
        <v>1003.467408478259</v>
      </c>
      <c r="T24" s="61">
        <f t="shared" si="11"/>
        <v>740.37485891604774</v>
      </c>
      <c r="U24" s="61">
        <f t="shared" si="11"/>
        <v>1055.0442396695237</v>
      </c>
      <c r="V24" s="61">
        <f t="shared" si="11"/>
        <v>2123.6604074508423</v>
      </c>
      <c r="W24" s="61">
        <f t="shared" si="11"/>
        <v>1690.0263212740592</v>
      </c>
      <c r="X24" s="61">
        <f t="shared" si="11"/>
        <v>1566.4900345935919</v>
      </c>
      <c r="Y24" s="61">
        <f t="shared" si="11"/>
        <v>1282.870263786984</v>
      </c>
      <c r="Z24" s="61">
        <f t="shared" si="11"/>
        <v>3016.6007391042463</v>
      </c>
      <c r="AA24" s="61">
        <f t="shared" si="11"/>
        <v>2901.3892780318747</v>
      </c>
      <c r="AB24" s="61">
        <f t="shared" si="11"/>
        <v>2614.5802120209328</v>
      </c>
      <c r="AC24" s="61">
        <f t="shared" si="11"/>
        <v>3392.5527316367679</v>
      </c>
      <c r="AD24" s="61">
        <f t="shared" si="11"/>
        <v>3837.6465499508568</v>
      </c>
      <c r="AE24" s="61">
        <f t="shared" si="11"/>
        <v>4648.2325400778291</v>
      </c>
      <c r="AF24" s="61">
        <f>SUM(AF20:AF23)</f>
        <v>3893.0987954783609</v>
      </c>
      <c r="AG24" s="64">
        <f t="shared" ref="AG24" si="12">SUM(AG20:AG23)</f>
        <v>5555.2700188760191</v>
      </c>
    </row>
    <row r="25" spans="1:34" s="66" customFormat="1">
      <c r="A25" s="66" t="s">
        <v>49</v>
      </c>
      <c r="B25" s="67" t="s">
        <v>38</v>
      </c>
      <c r="C25" s="68">
        <f>-'[14]Conso THB'!$EP$31</f>
        <v>-560</v>
      </c>
      <c r="D25" s="68">
        <f>-'[14]Conso THB'!$CZ$31</f>
        <v>139</v>
      </c>
      <c r="E25" s="68">
        <f>-'[14]Conso THB'!$BM$31</f>
        <v>-164.363</v>
      </c>
      <c r="F25" s="68">
        <f>-'[14]Conso THB'!$AC$31-'[8]Restate 2015'!$Q$16/10^3</f>
        <v>-191.03701131035166</v>
      </c>
      <c r="G25" s="68">
        <f>-'[14]Conso THB'!$AB$31-'[8]Restate 2015'!$H$16/10^3</f>
        <v>-285.42599561576316</v>
      </c>
      <c r="H25" s="68">
        <f>-'[8]Conso THB'!$G$31</f>
        <v>-279.13</v>
      </c>
      <c r="I25" s="68">
        <f>-'[4]Conso THB'!$G$31</f>
        <v>-162.07599999999999</v>
      </c>
      <c r="J25" s="68">
        <f>-'[5]Conso THB'!$G$31</f>
        <v>-195.417</v>
      </c>
      <c r="K25" s="69">
        <f>-'[6]Conso THB'!$H$31</f>
        <v>-166.429</v>
      </c>
      <c r="L25" s="70">
        <f>-'[6]Conso THB'!$G$31</f>
        <v>-151.19999999999999</v>
      </c>
      <c r="M25" s="68">
        <f>-'[14]Conso THB'!$BC$31</f>
        <v>-17</v>
      </c>
      <c r="N25" s="68">
        <f>-'[14]Conso THB'!$AQ$31</f>
        <v>-52.055999999999997</v>
      </c>
      <c r="O25" s="68">
        <f>-'[14]Conso THB'!$AH$31</f>
        <v>-108.41100000000002</v>
      </c>
      <c r="P25" s="68">
        <f>-'[14]Conso THB'!$Y$31</f>
        <v>-13.244999999999976</v>
      </c>
      <c r="Q25" s="68">
        <f>-'[14]Conso THB'!$P$31-'[12]Restate 2015'!$B$16/1000</f>
        <v>-75.356475561979607</v>
      </c>
      <c r="R25" s="68">
        <f>-'[14]Conso THB'!$D$31-'[12]Restate 2015'!$C$16/1000</f>
        <v>-115.47056798151134</v>
      </c>
      <c r="S25" s="68">
        <f>-'[14]Conso THB'!$X$31-'[12]Restate 2015'!$E$16/1000</f>
        <v>-31.263213732773</v>
      </c>
      <c r="T25" s="68">
        <f>-'[14]Conso THB'!$O$31-'[12]Restate 2015'!$G$16/1000</f>
        <v>-63.335738339499237</v>
      </c>
      <c r="U25" s="68">
        <f>-'[9]Conso THB'!$D$31</f>
        <v>-89.989000000000004</v>
      </c>
      <c r="V25" s="68">
        <f>H25-(U25+W25+X25)</f>
        <v>-92.851155313491887</v>
      </c>
      <c r="W25" s="68">
        <f>-'[7]Conso THB'!$B$31-'[8]Restate 2015'!$L$23/1000</f>
        <v>-38.371844686508098</v>
      </c>
      <c r="X25" s="68">
        <f>-'[4]Conso THB'!$D$31</f>
        <v>-57.918000000000006</v>
      </c>
      <c r="Y25" s="68">
        <f>-'[9]Conso THB'!$B$31</f>
        <v>-66.436000000000007</v>
      </c>
      <c r="Z25" s="68">
        <f>-'[10]Conso THB'!$B$31</f>
        <v>-57.035999999999987</v>
      </c>
      <c r="AA25" s="68">
        <f>-'[11]Conso THB'!$B$31</f>
        <v>-37.14400000000002</v>
      </c>
      <c r="AB25" s="68">
        <f t="shared" si="5"/>
        <v>-1.4599999999999795</v>
      </c>
      <c r="AC25" s="68">
        <f>-'[15]Conso THB'!$B$31</f>
        <v>-70.789000000000001</v>
      </c>
      <c r="AD25" s="68">
        <f>-'[12]Conso THB'!$B$31</f>
        <v>-68.362000000000009</v>
      </c>
      <c r="AE25" s="68">
        <f>-'[13]Conso THB'!$B$31</f>
        <v>-30.150999999999982</v>
      </c>
      <c r="AF25" s="68">
        <f t="shared" si="9"/>
        <v>-26.115000000000009</v>
      </c>
      <c r="AG25" s="71">
        <f>-'[6]Conso THB'!$B$31</f>
        <v>-26.571999999999999</v>
      </c>
    </row>
    <row r="26" spans="1:34" s="65" customFormat="1">
      <c r="A26" s="59" t="s">
        <v>50</v>
      </c>
      <c r="B26" s="60" t="s">
        <v>38</v>
      </c>
      <c r="C26" s="61">
        <f t="shared" ref="C26:H26" si="13">C24+C25</f>
        <v>6783.892037187703</v>
      </c>
      <c r="D26" s="61">
        <f>D24+D25</f>
        <v>9328.6161587550305</v>
      </c>
      <c r="E26" s="61">
        <f t="shared" si="13"/>
        <v>1438.0484005211092</v>
      </c>
      <c r="F26" s="61">
        <f t="shared" si="13"/>
        <v>1708.6552710605597</v>
      </c>
      <c r="G26" s="61">
        <f t="shared" si="13"/>
        <v>3841.1260793515603</v>
      </c>
      <c r="H26" s="61">
        <f t="shared" si="13"/>
        <v>6156.0910029880288</v>
      </c>
      <c r="I26" s="61">
        <f>I24+I25</f>
        <v>9653.3644929440416</v>
      </c>
      <c r="J26" s="61">
        <f t="shared" ref="J26:Y26" si="14">J24+J25</f>
        <v>15576.113617143817</v>
      </c>
      <c r="K26" s="62">
        <f t="shared" si="14"/>
        <v>11758.694162719679</v>
      </c>
      <c r="L26" s="63">
        <f t="shared" si="14"/>
        <v>17783.047904383115</v>
      </c>
      <c r="M26" s="61">
        <f t="shared" si="14"/>
        <v>-129.47594235254633</v>
      </c>
      <c r="N26" s="61">
        <f t="shared" si="14"/>
        <v>709.0588172877558</v>
      </c>
      <c r="O26" s="61">
        <f t="shared" si="14"/>
        <v>519.31753961099798</v>
      </c>
      <c r="P26" s="61">
        <f t="shared" si="14"/>
        <v>412.39717832713427</v>
      </c>
      <c r="Q26" s="61">
        <f t="shared" si="14"/>
        <v>934.96204797935434</v>
      </c>
      <c r="R26" s="61">
        <f t="shared" si="14"/>
        <v>1256.9207160501626</v>
      </c>
      <c r="S26" s="61">
        <f t="shared" si="14"/>
        <v>972.20419474548601</v>
      </c>
      <c r="T26" s="61">
        <f t="shared" si="14"/>
        <v>677.0391205765485</v>
      </c>
      <c r="U26" s="61">
        <f t="shared" si="14"/>
        <v>965.05523966952364</v>
      </c>
      <c r="V26" s="61">
        <f t="shared" si="14"/>
        <v>2030.8092521373503</v>
      </c>
      <c r="W26" s="61">
        <f t="shared" si="14"/>
        <v>1651.654476587551</v>
      </c>
      <c r="X26" s="61">
        <f t="shared" si="14"/>
        <v>1508.572034593592</v>
      </c>
      <c r="Y26" s="61">
        <f t="shared" si="14"/>
        <v>1216.434263786984</v>
      </c>
      <c r="Z26" s="61">
        <f>Z24+Z25</f>
        <v>2959.5647391042462</v>
      </c>
      <c r="AA26" s="61">
        <f>AA24+AA25</f>
        <v>2864.2452780318745</v>
      </c>
      <c r="AB26" s="61">
        <f>AB24+AB25</f>
        <v>2613.1202120209327</v>
      </c>
      <c r="AC26" s="61">
        <f>AC24+AC25</f>
        <v>3321.7637316367677</v>
      </c>
      <c r="AD26" s="61">
        <f>AD24+AD25</f>
        <v>3769.2845499508567</v>
      </c>
      <c r="AE26" s="61">
        <f t="shared" ref="AE26" si="15">AE24+AE25</f>
        <v>4618.0815400778292</v>
      </c>
      <c r="AF26" s="61">
        <f>AF24+AF25</f>
        <v>3866.9837954783607</v>
      </c>
      <c r="AG26" s="64">
        <f t="shared" ref="AG26" si="16">AG24+AG25</f>
        <v>5528.698018876019</v>
      </c>
      <c r="AH26" s="38"/>
    </row>
    <row r="27" spans="1:34" s="78" customFormat="1">
      <c r="A27" s="78" t="s">
        <v>51</v>
      </c>
      <c r="B27" s="79" t="s">
        <v>33</v>
      </c>
      <c r="C27" s="80">
        <f t="shared" ref="C27:F27" si="17">-SUM(C21:C23)/(C20-C19)</f>
        <v>6.2309336962621406E-2</v>
      </c>
      <c r="D27" s="80">
        <f t="shared" si="17"/>
        <v>7.2499055019788761E-2</v>
      </c>
      <c r="E27" s="80">
        <f t="shared" si="17"/>
        <v>0.43977807130221647</v>
      </c>
      <c r="F27" s="80">
        <f t="shared" si="17"/>
        <v>0.3735658193326819</v>
      </c>
      <c r="G27" s="80">
        <f t="shared" ref="G27:Z27" si="18">-SUM(G21:G23)/(G20-G19)</f>
        <v>0.28480359232981001</v>
      </c>
      <c r="H27" s="80">
        <f t="shared" si="18"/>
        <v>0.24531701222234134</v>
      </c>
      <c r="I27" s="80">
        <f>-SUM(I21:I23)/(I20-I19)</f>
        <v>0.18169009967639629</v>
      </c>
      <c r="J27" s="80">
        <f>-SUM(J21:J23)/(J20-J19)</f>
        <v>0.13531209028896726</v>
      </c>
      <c r="K27" s="81">
        <f>-SUM(K21:K23)/(K20-K19)</f>
        <v>0.18193237202987134</v>
      </c>
      <c r="L27" s="82">
        <f>-SUM(L21:L23)/(L20-L19)</f>
        <v>0.12607063851854691</v>
      </c>
      <c r="M27" s="80">
        <f t="shared" si="18"/>
        <v>0.67400407322896805</v>
      </c>
      <c r="N27" s="80">
        <f t="shared" si="18"/>
        <v>0.41363193518479624</v>
      </c>
      <c r="O27" s="80">
        <f t="shared" si="18"/>
        <v>0.36169262410761954</v>
      </c>
      <c r="P27" s="80">
        <f t="shared" si="18"/>
        <v>0.34052241194323812</v>
      </c>
      <c r="Q27" s="80">
        <f t="shared" si="18"/>
        <v>0.32298324124622158</v>
      </c>
      <c r="R27" s="80">
        <f t="shared" si="18"/>
        <v>0.23698723949733513</v>
      </c>
      <c r="S27" s="80">
        <f t="shared" si="18"/>
        <v>0.203834253788447</v>
      </c>
      <c r="T27" s="80">
        <f t="shared" si="18"/>
        <v>0.36718986853018454</v>
      </c>
      <c r="U27" s="80">
        <f t="shared" si="18"/>
        <v>0.39188485907600101</v>
      </c>
      <c r="V27" s="80">
        <f t="shared" si="18"/>
        <v>0.27151312280306195</v>
      </c>
      <c r="W27" s="80">
        <f t="shared" si="18"/>
        <v>0.30443317542382575</v>
      </c>
      <c r="X27" s="80">
        <f t="shared" si="18"/>
        <v>-7.2448164519336652E-2</v>
      </c>
      <c r="Y27" s="80">
        <f t="shared" si="18"/>
        <v>0.13624728583058934</v>
      </c>
      <c r="Z27" s="80">
        <f t="shared" si="18"/>
        <v>0.17872556330294756</v>
      </c>
      <c r="AA27" s="80">
        <f t="shared" ref="AA27:AC27" si="19">-SUM(AA21:AA23)/(AA20-AA19)</f>
        <v>0.19276436207549863</v>
      </c>
      <c r="AB27" s="80">
        <f t="shared" si="19"/>
        <v>0.193607268888843</v>
      </c>
      <c r="AC27" s="80">
        <f t="shared" si="19"/>
        <v>0.1648844859653312</v>
      </c>
      <c r="AD27" s="80">
        <f>-SUM(AD21:AD23)/(AD20-AD19)</f>
        <v>8.6600994494372516E-2</v>
      </c>
      <c r="AE27" s="80">
        <f t="shared" ref="AE27" si="20">-SUM(AE21:AE23)/(AE20-AE19)</f>
        <v>0.19075887805425235</v>
      </c>
      <c r="AF27" s="80">
        <f>-SUM(AF21:AF23)/(AF20-AF19)</f>
        <v>8.4348685759405878E-2</v>
      </c>
      <c r="AG27" s="83">
        <f>-SUM(AG21:AG23)/(AG20-AG19)</f>
        <v>0.12334737991587381</v>
      </c>
    </row>
    <row r="28" spans="1:34" s="78" customFormat="1">
      <c r="A28" s="78" t="s">
        <v>52</v>
      </c>
      <c r="B28" s="79" t="s">
        <v>33</v>
      </c>
      <c r="C28" s="80">
        <f>C27</f>
        <v>6.2309336962621406E-2</v>
      </c>
      <c r="D28" s="80">
        <f>D27</f>
        <v>7.2499055019788761E-2</v>
      </c>
      <c r="E28" s="80">
        <f>-E21/E20</f>
        <v>0.16293213693074879</v>
      </c>
      <c r="F28" s="80">
        <f t="shared" ref="F28:AE28" si="21">-F21/F20</f>
        <v>8.7066781765536339E-2</v>
      </c>
      <c r="G28" s="80">
        <f t="shared" si="21"/>
        <v>7.3454301492920912E-2</v>
      </c>
      <c r="H28" s="80">
        <f t="shared" si="21"/>
        <v>9.5505885502668225E-2</v>
      </c>
      <c r="I28" s="80">
        <f t="shared" si="21"/>
        <v>0.10915558625513938</v>
      </c>
      <c r="J28" s="80">
        <f t="shared" si="21"/>
        <v>0.15631512789397897</v>
      </c>
      <c r="K28" s="81">
        <f t="shared" si="21"/>
        <v>0.11086501247161096</v>
      </c>
      <c r="L28" s="82">
        <f t="shared" si="21"/>
        <v>0.15432838862849826</v>
      </c>
      <c r="M28" s="84">
        <f t="shared" si="21"/>
        <v>3.6922876559408988</v>
      </c>
      <c r="N28" s="80">
        <f t="shared" si="21"/>
        <v>7.543233509254231E-2</v>
      </c>
      <c r="O28" s="80">
        <f>-O21/O20</f>
        <v>0.1345688546901232</v>
      </c>
      <c r="P28" s="80">
        <f t="shared" si="21"/>
        <v>-3.1624538734117517E-2</v>
      </c>
      <c r="Q28" s="80">
        <f t="shared" si="21"/>
        <v>6.6729306641278976E-2</v>
      </c>
      <c r="R28" s="80">
        <f t="shared" si="21"/>
        <v>0.10971803440847408</v>
      </c>
      <c r="S28" s="80">
        <f t="shared" si="21"/>
        <v>0.13797125067595972</v>
      </c>
      <c r="T28" s="80">
        <f t="shared" si="21"/>
        <v>-2.8009833831289181E-2</v>
      </c>
      <c r="U28" s="80">
        <f t="shared" si="21"/>
        <v>9.4648525462884214E-2</v>
      </c>
      <c r="V28" s="80">
        <f t="shared" si="21"/>
        <v>9.6725832078027929E-2</v>
      </c>
      <c r="W28" s="80">
        <f t="shared" si="21"/>
        <v>0.10883008015155908</v>
      </c>
      <c r="X28" s="80">
        <f t="shared" si="21"/>
        <v>7.1288075709196638E-2</v>
      </c>
      <c r="Y28" s="80">
        <f t="shared" si="21"/>
        <v>0.14183043767033704</v>
      </c>
      <c r="Z28" s="80">
        <f t="shared" si="21"/>
        <v>0.18452437353929244</v>
      </c>
      <c r="AA28" s="80">
        <f t="shared" si="21"/>
        <v>8.9769379377937594E-2</v>
      </c>
      <c r="AB28" s="80">
        <f t="shared" si="21"/>
        <v>3.0391515504110959E-2</v>
      </c>
      <c r="AC28" s="80">
        <f t="shared" si="21"/>
        <v>0.12739849839415171</v>
      </c>
      <c r="AD28" s="80">
        <f t="shared" si="21"/>
        <v>0.14074064917911452</v>
      </c>
      <c r="AE28" s="80">
        <f t="shared" si="21"/>
        <v>0.11198892254199781</v>
      </c>
      <c r="AF28" s="80">
        <f>-AF21/AF20</f>
        <v>0.25884876501295856</v>
      </c>
      <c r="AG28" s="83">
        <f>-AG21/AG20</f>
        <v>0.13149181865381246</v>
      </c>
    </row>
    <row r="29" spans="1:34" s="85" customFormat="1">
      <c r="A29" s="85" t="s">
        <v>53</v>
      </c>
      <c r="B29" s="67" t="s">
        <v>38</v>
      </c>
      <c r="C29" s="23"/>
      <c r="D29" s="23"/>
      <c r="E29" s="23"/>
      <c r="F29" s="23"/>
      <c r="G29" s="72">
        <f>'[16]Q4''2014'!$B$11/10^6</f>
        <v>-178.356164383562</v>
      </c>
      <c r="H29" s="72">
        <f>'[4]Conso THB'!$H$33</f>
        <v>-1050.0000000000002</v>
      </c>
      <c r="I29" s="72">
        <f>'[4]Conso THB'!$G$33</f>
        <v>-1050</v>
      </c>
      <c r="J29" s="72">
        <f>'[5]Conso THB'!$G$33</f>
        <v>-1050.0000000000002</v>
      </c>
      <c r="K29" s="73">
        <f>'[6]Conso THB'!$H$33</f>
        <v>-1047.123178082192</v>
      </c>
      <c r="L29" s="74">
        <f>'[6]Conso THB'!$G$33</f>
        <v>-1050.0001095890414</v>
      </c>
      <c r="M29" s="72"/>
      <c r="N29" s="72"/>
      <c r="O29" s="72"/>
      <c r="P29" s="72"/>
      <c r="Q29" s="72"/>
      <c r="R29" s="72"/>
      <c r="S29" s="72"/>
      <c r="T29" s="72">
        <f>G29</f>
        <v>-178.356164383562</v>
      </c>
      <c r="U29" s="72">
        <f>'[16]Q4''2015'!$B$11/10^6</f>
        <v>-258.90410958904101</v>
      </c>
      <c r="V29" s="72">
        <f>('[16]Q4''2015'!$F$11/10^6)-U29</f>
        <v>-261.780821917808</v>
      </c>
      <c r="W29" s="72">
        <f>('[16]Q4''2015'!$J$11/10^6)-U29-V29</f>
        <v>-264.65753424657601</v>
      </c>
      <c r="X29" s="72">
        <f>H29-U29-V29-W29</f>
        <v>-264.65753424657521</v>
      </c>
      <c r="Y29" s="72">
        <f>'[16]Q4''2016'!$B$11/10^6</f>
        <v>-261.780821917808</v>
      </c>
      <c r="Z29" s="72">
        <f>('[16]Q4''2016'!$F$11/10^6)-Y29</f>
        <v>-260.35032562317599</v>
      </c>
      <c r="AA29" s="72">
        <f>('[16]Q4''2016'!$J$11/10^6)-Y29-Z29</f>
        <v>-263.93442622950795</v>
      </c>
      <c r="AB29" s="72">
        <f>I29-Y29-Z29-AA29</f>
        <v>-263.93442622950806</v>
      </c>
      <c r="AC29" s="72">
        <f>'[15]Conso THB'!$B$33</f>
        <v>-258.904</v>
      </c>
      <c r="AD29" s="72">
        <f>'[12]Conso THB'!$B$33</f>
        <v>-261.78093150684936</v>
      </c>
      <c r="AE29" s="72">
        <f>'[13]Conso THB'!$B$33</f>
        <v>-264.65753424657555</v>
      </c>
      <c r="AF29" s="72">
        <f t="shared" ref="AF29" si="22">J29-AC29-AD29-AE29</f>
        <v>-264.65753424657532</v>
      </c>
      <c r="AG29" s="76">
        <f>'[6]Conso THB'!$B$33</f>
        <v>-258.90410958904113</v>
      </c>
    </row>
    <row r="30" spans="1:34" s="85" customFormat="1">
      <c r="A30" s="85" t="s">
        <v>54</v>
      </c>
      <c r="B30" s="85" t="s">
        <v>55</v>
      </c>
      <c r="C30" s="86">
        <v>4240.0370000000003</v>
      </c>
      <c r="D30" s="86">
        <v>4737.9849999999997</v>
      </c>
      <c r="E30" s="86">
        <v>4814.2569999999996</v>
      </c>
      <c r="F30" s="86">
        <v>4814.2569999999996</v>
      </c>
      <c r="G30" s="86">
        <v>4814.2569999999996</v>
      </c>
      <c r="H30" s="86">
        <v>4814.2569999999996</v>
      </c>
      <c r="I30" s="86">
        <f>AA30</f>
        <v>4814.2719999999999</v>
      </c>
      <c r="J30" s="86">
        <f>'[5]Conso THB'!$G$36</f>
        <v>4985.1961624739724</v>
      </c>
      <c r="K30" s="87">
        <f>'[6]Conso THB'!$H$36</f>
        <v>4814.2773165506851</v>
      </c>
      <c r="L30" s="88">
        <f>'[6]Conso THB'!$G$36</f>
        <v>5116.0935868958904</v>
      </c>
      <c r="M30" s="89">
        <f t="shared" ref="M30:V30" si="23">N30</f>
        <v>4814.2569999999996</v>
      </c>
      <c r="N30" s="89">
        <f t="shared" si="23"/>
        <v>4814.2569999999996</v>
      </c>
      <c r="O30" s="89">
        <f t="shared" si="23"/>
        <v>4814.2569999999996</v>
      </c>
      <c r="P30" s="89">
        <f t="shared" si="23"/>
        <v>4814.2569999999996</v>
      </c>
      <c r="Q30" s="89">
        <f t="shared" si="23"/>
        <v>4814.2569999999996</v>
      </c>
      <c r="R30" s="89">
        <f t="shared" si="23"/>
        <v>4814.2569999999996</v>
      </c>
      <c r="S30" s="89">
        <f t="shared" si="23"/>
        <v>4814.2569999999996</v>
      </c>
      <c r="T30" s="89">
        <f t="shared" si="23"/>
        <v>4814.2569999999996</v>
      </c>
      <c r="U30" s="89">
        <f t="shared" si="23"/>
        <v>4814.2569999999996</v>
      </c>
      <c r="V30" s="89">
        <f t="shared" si="23"/>
        <v>4814.2569999999996</v>
      </c>
      <c r="W30" s="89">
        <f>X30</f>
        <v>4814.2569999999996</v>
      </c>
      <c r="X30" s="89">
        <f>H30</f>
        <v>4814.2569999999996</v>
      </c>
      <c r="Y30" s="56">
        <f>'[9]Conso USD'!$H$36</f>
        <v>4814</v>
      </c>
      <c r="Z30" s="56">
        <f>'[12]Conso THB'!$D$36</f>
        <v>4814.2719999999999</v>
      </c>
      <c r="AA30" s="56">
        <f>'[11]Conso USD'!$B$36</f>
        <v>4814.2719999999999</v>
      </c>
      <c r="AB30" s="56">
        <f>I30</f>
        <v>4814.2719999999999</v>
      </c>
      <c r="AC30" s="56">
        <f>'[12]Conso THB'!$C$36</f>
        <v>4814.2929999999997</v>
      </c>
      <c r="AD30" s="56">
        <f>'[12]Conso THB'!$B$36</f>
        <v>4814.3190583626374</v>
      </c>
      <c r="AE30" s="56">
        <f>'[13]Conso THB'!$B$36</f>
        <v>5061.3676620326087</v>
      </c>
      <c r="AF30" s="56">
        <f>'[5]Conso THB'!$B$36</f>
        <v>5245.2320779239126</v>
      </c>
      <c r="AG30" s="90">
        <f>'[6]Conso THB'!$B$36</f>
        <v>5345.1549869999999</v>
      </c>
    </row>
    <row r="31" spans="1:34" s="85" customFormat="1">
      <c r="A31" s="85" t="s">
        <v>56</v>
      </c>
      <c r="B31" s="85" t="s">
        <v>57</v>
      </c>
      <c r="C31" s="91">
        <f>(C26+C29)/C30</f>
        <v>1.5999605751524579</v>
      </c>
      <c r="D31" s="91">
        <f t="shared" ref="D31:AG31" si="24">(D26+D29)/D30</f>
        <v>1.9688994707148779</v>
      </c>
      <c r="E31" s="91">
        <f t="shared" si="24"/>
        <v>0.29870619713926977</v>
      </c>
      <c r="F31" s="91">
        <f t="shared" si="24"/>
        <v>0.35491567464316087</v>
      </c>
      <c r="G31" s="91">
        <f t="shared" si="24"/>
        <v>0.76081727979374569</v>
      </c>
      <c r="H31" s="91">
        <f t="shared" si="24"/>
        <v>1.0606187004532639</v>
      </c>
      <c r="I31" s="91">
        <f t="shared" si="24"/>
        <v>1.787054095186986</v>
      </c>
      <c r="J31" s="91">
        <f>(J26+J29)/J30</f>
        <v>2.9138499556926227</v>
      </c>
      <c r="K31" s="92">
        <f>(K26+K29)/K30</f>
        <v>2.2249592784804659</v>
      </c>
      <c r="L31" s="93">
        <f>(L26+L29)/L30</f>
        <v>3.2706688238958876</v>
      </c>
      <c r="M31" s="91">
        <f t="shared" si="24"/>
        <v>-2.6894273062810385E-2</v>
      </c>
      <c r="N31" s="91">
        <f t="shared" si="24"/>
        <v>0.14728312536861987</v>
      </c>
      <c r="O31" s="91">
        <f t="shared" si="24"/>
        <v>0.10787075546880817</v>
      </c>
      <c r="P31" s="91">
        <f t="shared" si="24"/>
        <v>8.5661645883702162E-2</v>
      </c>
      <c r="Q31" s="91">
        <f t="shared" si="24"/>
        <v>0.19420692496876557</v>
      </c>
      <c r="R31" s="91">
        <f t="shared" si="24"/>
        <v>0.26108301157378233</v>
      </c>
      <c r="S31" s="91">
        <f t="shared" si="24"/>
        <v>0.20194272859664245</v>
      </c>
      <c r="T31" s="91">
        <f t="shared" si="24"/>
        <v>0.10358461465455344</v>
      </c>
      <c r="U31" s="91">
        <f t="shared" si="24"/>
        <v>0.14667915112975538</v>
      </c>
      <c r="V31" s="91">
        <f t="shared" si="24"/>
        <v>0.36745616825598271</v>
      </c>
      <c r="W31" s="91">
        <f t="shared" si="24"/>
        <v>0.28810197343867916</v>
      </c>
      <c r="X31" s="91">
        <f t="shared" si="24"/>
        <v>0.25838140762884426</v>
      </c>
      <c r="Y31" s="91">
        <f t="shared" si="24"/>
        <v>0.19830773615894809</v>
      </c>
      <c r="Z31" s="91">
        <f t="shared" si="24"/>
        <v>0.56066927948422318</v>
      </c>
      <c r="AA31" s="91">
        <f t="shared" si="24"/>
        <v>0.54012545444095528</v>
      </c>
      <c r="AB31" s="91">
        <f t="shared" si="24"/>
        <v>0.48796282922764328</v>
      </c>
      <c r="AC31" s="91">
        <f t="shared" si="24"/>
        <v>0.63620135534683242</v>
      </c>
      <c r="AD31" s="91">
        <f t="shared" si="24"/>
        <v>0.72855653643298801</v>
      </c>
      <c r="AE31" s="91">
        <f t="shared" si="24"/>
        <v>0.86012799237804227</v>
      </c>
      <c r="AF31" s="91">
        <f t="shared" si="24"/>
        <v>0.68678110095323042</v>
      </c>
      <c r="AG31" s="94">
        <f t="shared" si="24"/>
        <v>0.98590104910029586</v>
      </c>
    </row>
    <row r="32" spans="1:34" s="18" customFormat="1" ht="25.5">
      <c r="A32" s="11" t="s">
        <v>58</v>
      </c>
      <c r="B32" s="12"/>
      <c r="C32" s="12"/>
      <c r="D32" s="12"/>
      <c r="E32" s="12"/>
      <c r="F32" s="12"/>
      <c r="G32" s="13"/>
      <c r="H32" s="13"/>
      <c r="I32" s="13"/>
      <c r="J32" s="13"/>
      <c r="K32" s="14"/>
      <c r="L32" s="95"/>
      <c r="M32" s="13"/>
      <c r="N32" s="13"/>
      <c r="O32" s="13"/>
      <c r="P32" s="13"/>
      <c r="Q32" s="13"/>
      <c r="R32" s="13"/>
      <c r="S32" s="13"/>
      <c r="T32" s="13"/>
      <c r="U32" s="13"/>
      <c r="V32" s="13"/>
      <c r="W32" s="13"/>
      <c r="X32" s="13"/>
      <c r="Y32" s="13"/>
      <c r="Z32" s="13"/>
      <c r="AA32" s="13"/>
      <c r="AB32" s="13"/>
      <c r="AC32" s="13"/>
      <c r="AD32" s="13"/>
      <c r="AE32" s="13"/>
      <c r="AF32" s="13"/>
      <c r="AG32" s="96"/>
    </row>
    <row r="33" spans="1:33">
      <c r="C33" s="52"/>
      <c r="D33" s="52"/>
      <c r="E33" s="52"/>
      <c r="F33" s="52"/>
      <c r="G33" s="52"/>
      <c r="H33" s="52"/>
      <c r="I33" s="52"/>
      <c r="J33" s="52"/>
      <c r="K33" s="53"/>
      <c r="L33" s="97"/>
      <c r="M33" s="52"/>
      <c r="N33" s="52"/>
      <c r="O33" s="52"/>
      <c r="P33" s="52"/>
      <c r="Q33" s="52"/>
      <c r="R33" s="52"/>
      <c r="S33" s="52"/>
      <c r="T33" s="52"/>
      <c r="U33" s="52"/>
      <c r="V33" s="52"/>
      <c r="W33" s="52"/>
      <c r="X33" s="52"/>
      <c r="Y33" s="52"/>
      <c r="Z33" s="52"/>
      <c r="AA33" s="52"/>
      <c r="AB33" s="52"/>
      <c r="AC33" s="52"/>
      <c r="AD33" s="52"/>
      <c r="AE33" s="52"/>
      <c r="AF33" s="52"/>
      <c r="AG33" s="98"/>
    </row>
    <row r="34" spans="1:33">
      <c r="A34" s="2" t="s">
        <v>59</v>
      </c>
      <c r="B34" s="45" t="s">
        <v>38</v>
      </c>
      <c r="C34" s="72">
        <f>'[4]By company'!$R$1429</f>
        <v>1178.6617363873224</v>
      </c>
      <c r="D34" s="72">
        <f>'[4]By company'!$S$1429</f>
        <v>226.96384124495512</v>
      </c>
      <c r="E34" s="72">
        <f>'[4]By company'!$X$1429</f>
        <v>68.794145293529354</v>
      </c>
      <c r="F34" s="72">
        <f>'[4]By company'!$AC$1429</f>
        <v>-645.6309337480169</v>
      </c>
      <c r="G34" s="72">
        <f>'[4]By company'!$AH$1429</f>
        <v>-2498.9554554356409</v>
      </c>
      <c r="H34" s="72">
        <f>'[4]By company'!$AM$1429</f>
        <v>-2552.7066591608777</v>
      </c>
      <c r="I34" s="72">
        <f>'[4]By company'!$AR$1429</f>
        <v>261.07500481277771</v>
      </c>
      <c r="J34" s="72">
        <f>'[5]By company'!$AW$1547</f>
        <v>1271.2039524106096</v>
      </c>
      <c r="K34" s="73">
        <f>'[6]By company'!$AZ$1592</f>
        <v>2049.1948401485229</v>
      </c>
      <c r="L34" s="74">
        <f>'[6]By company'!$AY$1592</f>
        <v>503.57268368535438</v>
      </c>
      <c r="M34" s="72">
        <f>'[4]By company'!Y1429</f>
        <v>383.97096976161566</v>
      </c>
      <c r="N34" s="72">
        <f>'[4]By company'!Z1429</f>
        <v>-798.79865506158262</v>
      </c>
      <c r="O34" s="72">
        <f>'[4]By company'!AA1429</f>
        <v>107.76403312604293</v>
      </c>
      <c r="P34" s="72">
        <f>'[4]By company'!AB1429</f>
        <v>-338.56728157409287</v>
      </c>
      <c r="Q34" s="72">
        <f>'[4]By company'!AD1429</f>
        <v>-581.53454601901592</v>
      </c>
      <c r="R34" s="72">
        <f>'[4]By company'!AE1429</f>
        <v>19.053366212533774</v>
      </c>
      <c r="S34" s="72">
        <f>'[4]By company'!AF1429</f>
        <v>-20.072641586151008</v>
      </c>
      <c r="T34" s="72">
        <f>'[4]By company'!AG1429</f>
        <v>-1916.4016340430078</v>
      </c>
      <c r="U34" s="72">
        <f>'[4]By company'!AI1429</f>
        <v>-1068.0554522755212</v>
      </c>
      <c r="V34" s="72">
        <f>'[4]By company'!AJ1429</f>
        <v>987.54181052942863</v>
      </c>
      <c r="W34" s="72">
        <f>'[4]By company'!AK1429</f>
        <v>-1408.2314846332345</v>
      </c>
      <c r="X34" s="72">
        <f>'[4]By company'!AL1429</f>
        <v>-1063.9615327815507</v>
      </c>
      <c r="Y34" s="72">
        <f>'[4]By company'!AN1429</f>
        <v>-447.209968878582</v>
      </c>
      <c r="Z34" s="72">
        <f>'[4]By company'!AO1429</f>
        <v>639.64516830288017</v>
      </c>
      <c r="AA34" s="72">
        <f>'[4]By company'!AP1429</f>
        <v>-144.67663179274928</v>
      </c>
      <c r="AB34" s="72">
        <f>I34-Y34-Z34-AA34</f>
        <v>213.31643718122882</v>
      </c>
      <c r="AC34" s="72">
        <f>'[15]By company'!AS1429</f>
        <v>1340.9098661042663</v>
      </c>
      <c r="AD34" s="72">
        <f>'[12]By company'!AT1457</f>
        <v>-789.85778313189223</v>
      </c>
      <c r="AE34" s="72">
        <f>'[13]By company'!$AU$1503</f>
        <v>251.10068849150275</v>
      </c>
      <c r="AF34" s="72">
        <f t="shared" ref="AF34" si="25">J34-AC34-AD34-AE34</f>
        <v>469.05118094673287</v>
      </c>
      <c r="AG34" s="76">
        <f>'[6]By company'!$AX$1592</f>
        <v>573.27859737901099</v>
      </c>
    </row>
    <row r="35" spans="1:33">
      <c r="A35" s="99" t="s">
        <v>60</v>
      </c>
      <c r="B35" s="100" t="s">
        <v>38</v>
      </c>
      <c r="C35" s="101">
        <f t="shared" ref="C35:G35" si="26">C15+C34</f>
        <v>13777.553773575026</v>
      </c>
      <c r="D35" s="101">
        <f t="shared" si="26"/>
        <v>17120.579999999987</v>
      </c>
      <c r="E35" s="101">
        <f t="shared" si="26"/>
        <v>14409.830999999995</v>
      </c>
      <c r="F35" s="101">
        <f t="shared" si="26"/>
        <v>14037.599999999991</v>
      </c>
      <c r="G35" s="101">
        <f t="shared" si="26"/>
        <v>15959.320187334586</v>
      </c>
      <c r="H35" s="101">
        <f>H15+H34</f>
        <v>19404.849742754086</v>
      </c>
      <c r="I35" s="101">
        <f>I15+I34</f>
        <v>27626.745999999985</v>
      </c>
      <c r="J35" s="101">
        <f>J15+J34</f>
        <v>35348.654121000014</v>
      </c>
      <c r="K35" s="102">
        <f>K15+K34</f>
        <v>32292.209635999912</v>
      </c>
      <c r="L35" s="63">
        <f>L15+L34</f>
        <v>37189.382251000075</v>
      </c>
      <c r="M35" s="101">
        <f t="shared" ref="M35:Z35" si="27">M15+M34</f>
        <v>3112.9</v>
      </c>
      <c r="N35" s="101">
        <f t="shared" si="27"/>
        <v>3175.0999999999949</v>
      </c>
      <c r="O35" s="101">
        <f t="shared" si="27"/>
        <v>4104.1960000000072</v>
      </c>
      <c r="P35" s="101">
        <f t="shared" si="27"/>
        <v>3645.4039999999959</v>
      </c>
      <c r="Q35" s="101">
        <f t="shared" si="27"/>
        <v>3983.1813290000014</v>
      </c>
      <c r="R35" s="101">
        <f t="shared" si="27"/>
        <v>4986.7445609359902</v>
      </c>
      <c r="S35" s="101">
        <f t="shared" si="27"/>
        <v>4331.871943929701</v>
      </c>
      <c r="T35" s="101">
        <f t="shared" si="27"/>
        <v>2657.522353468883</v>
      </c>
      <c r="U35" s="101">
        <f t="shared" si="27"/>
        <v>3692.9077318703849</v>
      </c>
      <c r="V35" s="101">
        <f t="shared" si="27"/>
        <v>7199.6740271296094</v>
      </c>
      <c r="W35" s="101">
        <f t="shared" si="27"/>
        <v>4503.1155945316114</v>
      </c>
      <c r="X35" s="101">
        <f t="shared" si="27"/>
        <v>4009.1523892224714</v>
      </c>
      <c r="Y35" s="101">
        <f t="shared" si="27"/>
        <v>4356.886364</v>
      </c>
      <c r="Z35" s="101">
        <f t="shared" si="27"/>
        <v>8389.1494372882116</v>
      </c>
      <c r="AA35" s="101">
        <f>AA15+AA34</f>
        <v>7416.2951727117897</v>
      </c>
      <c r="AB35" s="101">
        <f>AB15+AB34</f>
        <v>7464.4150259999806</v>
      </c>
      <c r="AC35" s="101">
        <f>AC15+AC34</f>
        <v>9022.3499999999985</v>
      </c>
      <c r="AD35" s="101">
        <f>AD15+AD34</f>
        <v>7398.832236243743</v>
      </c>
      <c r="AE35" s="101">
        <f t="shared" ref="AE35" si="28">AE15+AE34</f>
        <v>10023.024263756251</v>
      </c>
      <c r="AF35" s="101">
        <f>AF15+AF34</f>
        <v>8904.4476210000212</v>
      </c>
      <c r="AG35" s="64">
        <f t="shared" ref="AG35" si="29">AG15+AG34</f>
        <v>10863.078130000004</v>
      </c>
    </row>
    <row r="36" spans="1:33">
      <c r="A36" s="2" t="s">
        <v>61</v>
      </c>
      <c r="B36" s="45" t="s">
        <v>38</v>
      </c>
      <c r="C36" s="75">
        <f>'[14]Conso THB'!$EP$23</f>
        <v>2451</v>
      </c>
      <c r="D36" s="75">
        <f>'[14]Conso THB'!$CZ$23</f>
        <v>6001.42</v>
      </c>
      <c r="E36" s="75">
        <f>'[14]Conso THB'!$BM$23</f>
        <v>1349.26</v>
      </c>
      <c r="F36" s="103">
        <f>'[14]Conso THB'!$AC$23</f>
        <v>191.93699999999995</v>
      </c>
      <c r="G36" s="75">
        <f>'[14]Conso THB'!$AB$23</f>
        <v>-57.992999999999824</v>
      </c>
      <c r="H36" s="75">
        <f>'[8]Conso THB'!$G$23</f>
        <v>2412.761</v>
      </c>
      <c r="I36" s="75">
        <f>SUM(I37:I39)</f>
        <v>6339.0115229550975</v>
      </c>
      <c r="J36" s="75">
        <f>SUM(J37:J39)</f>
        <v>4204.7006568014476</v>
      </c>
      <c r="K36" s="73">
        <f>SUM(K37:K39)</f>
        <v>3036.0195499263241</v>
      </c>
      <c r="L36" s="74">
        <f>SUM(L37:L39)</f>
        <v>4037.1734394488226</v>
      </c>
      <c r="M36" s="75">
        <f>'[14]Conso THB'!$BC$23</f>
        <v>291.10000000000002</v>
      </c>
      <c r="N36" s="75">
        <f>'[14]Conso THB'!$AQ$23</f>
        <v>102.75400000000008</v>
      </c>
      <c r="O36" s="75">
        <f>'[14]Conso THB'!$AH$23</f>
        <v>365.58499999999975</v>
      </c>
      <c r="P36" s="75">
        <f>'[14]Conso THB'!$Y$23</f>
        <v>-567.50199999999995</v>
      </c>
      <c r="Q36" s="75">
        <f>'[14]Conso THB'!$P$23</f>
        <v>-55.053599999999996</v>
      </c>
      <c r="R36" s="75">
        <f>'[14]Conso THB'!$D$23</f>
        <v>274.08760000000012</v>
      </c>
      <c r="S36" s="75">
        <f>'[14]Conso THB'!$X$23</f>
        <v>-287.62176588335012</v>
      </c>
      <c r="T36" s="75">
        <f>'[14]Conso THB'!$O$23</f>
        <v>10.594765883350192</v>
      </c>
      <c r="U36" s="72">
        <f>'[9]Conso THB'!$D$23</f>
        <v>137.53691600000002</v>
      </c>
      <c r="V36" s="75">
        <f>'[10]Conso THB'!$D$23</f>
        <v>2657.2890839999995</v>
      </c>
      <c r="W36" s="75">
        <f>'[7]Conso THB'!$B$23</f>
        <v>-14.692999999999302</v>
      </c>
      <c r="X36" s="72">
        <f>H36-U36-V36-W36</f>
        <v>-367.3720000000003</v>
      </c>
      <c r="Y36" s="72">
        <f>'[9]Conso THB'!$B$23</f>
        <v>3276.1452029999996</v>
      </c>
      <c r="Z36" s="72">
        <f>'[10]Conso THB'!$B$23</f>
        <v>2485.20716551141</v>
      </c>
      <c r="AA36" s="72">
        <f>'[11]Conso THB'!$B$23</f>
        <v>403.28063148859019</v>
      </c>
      <c r="AB36" s="72">
        <f>SUM(AB37:AB39)</f>
        <v>174.3788353753996</v>
      </c>
      <c r="AC36" s="72">
        <f>SUM(AC37:AC39)</f>
        <v>-26.846506093384981</v>
      </c>
      <c r="AD36" s="72">
        <f>SUM(AD37:AD39)</f>
        <v>-88.178847113517023</v>
      </c>
      <c r="AE36" s="72">
        <f t="shared" ref="AE36" si="30">SUM(AE37:AE39)</f>
        <v>-1370.9818779483239</v>
      </c>
      <c r="AF36" s="72">
        <f>SUM(AF37:AF39)</f>
        <v>5690.7078879566743</v>
      </c>
      <c r="AG36" s="76">
        <f>SUM(AG37:AG39)</f>
        <v>-194.37372344601002</v>
      </c>
    </row>
    <row r="37" spans="1:33" hidden="1" outlineLevel="1">
      <c r="A37" s="2" t="s">
        <v>62</v>
      </c>
      <c r="B37" s="45" t="s">
        <v>38</v>
      </c>
      <c r="C37" s="75"/>
      <c r="D37" s="75">
        <f>'[11]Conso THB'!$FB$172</f>
        <v>-613</v>
      </c>
      <c r="E37" s="75">
        <f>'[11]Conso THB'!$DO$172</f>
        <v>-386.74400000000003</v>
      </c>
      <c r="F37" s="75">
        <f>'[11]Conso THB'!$CE$172</f>
        <v>31.921502977061998</v>
      </c>
      <c r="G37" s="75">
        <f>'[11]Conso THB'!$AO$172</f>
        <v>-126.21408373686201</v>
      </c>
      <c r="H37" s="75">
        <f>'[11]Conso THB'!$AN$172</f>
        <v>-165.51109173241804</v>
      </c>
      <c r="I37" s="75">
        <f>'[4]MDA table'!$AG$44</f>
        <v>-186.42087900479504</v>
      </c>
      <c r="J37" s="75">
        <f>'[5]MDA table'!$CI$48</f>
        <v>-539.68478535981205</v>
      </c>
      <c r="K37" s="73">
        <f>Z37+AA37+AB37+AC37</f>
        <v>-248.85643150693303</v>
      </c>
      <c r="L37" s="74">
        <f>'[6]MDA table'!$DA$48</f>
        <v>-656.22741378319813</v>
      </c>
      <c r="M37" s="75">
        <f>'[11]Conso THB'!$DE$172</f>
        <v>-1.3950879999999999E-2</v>
      </c>
      <c r="N37" s="75">
        <f>'[11]Conso THB'!$CS$172</f>
        <v>30.911206718319999</v>
      </c>
      <c r="O37" s="75">
        <f>'[11]Conso THB'!$CJ$172</f>
        <v>0.69305840733091983</v>
      </c>
      <c r="P37" s="75">
        <f>F37-M37-N37-O37</f>
        <v>0.33118873141107841</v>
      </c>
      <c r="Q37" s="75">
        <f>'[11]Conso THB'!$BR$172</f>
        <v>0</v>
      </c>
      <c r="R37" s="75">
        <f>'[11]Conso THB'!$BF$172</f>
        <v>-22.487942800399999</v>
      </c>
      <c r="S37" s="75">
        <f>'[11]Conso THB'!$AT$172</f>
        <v>-14.099514900940001</v>
      </c>
      <c r="T37" s="75">
        <f>'[11]Conso THB'!$AK$172</f>
        <v>-89.626626035522008</v>
      </c>
      <c r="U37" s="72">
        <f>'[11]Conso THB'!$AB$172</f>
        <v>-19.157653228191997</v>
      </c>
      <c r="V37" s="75">
        <f>'[11]Conso THB'!$P$172</f>
        <v>-96.471665880031992</v>
      </c>
      <c r="W37" s="75">
        <f>'[11]MDA table'!$T$44</f>
        <v>-11.72071355015202</v>
      </c>
      <c r="X37" s="72">
        <f>H37-U37-V37-W37</f>
        <v>-38.161059074042022</v>
      </c>
      <c r="Y37" s="72">
        <f>'[11]Conso THB'!$O$172</f>
        <v>-10.400476729862001</v>
      </c>
      <c r="Z37" s="72">
        <f>'[11]MDA table'!R44</f>
        <v>-41.821318557622</v>
      </c>
      <c r="AA37" s="72">
        <f>'[11]MDA table'!Q44</f>
        <v>-12.519269972650008</v>
      </c>
      <c r="AB37" s="72">
        <f t="shared" ref="AB37:AB39" si="31">I37-Y37-Z37-AA37</f>
        <v>-121.67981374466105</v>
      </c>
      <c r="AC37" s="72">
        <f>'[15]MDA table'!$AK$45</f>
        <v>-72.836029231999987</v>
      </c>
      <c r="AD37" s="72">
        <f>'[12]MDA table'!$AT$49</f>
        <v>-92.732360810178989</v>
      </c>
      <c r="AE37" s="72">
        <f>'[13]MDA table'!$BL$48</f>
        <v>-124.26129056984905</v>
      </c>
      <c r="AF37" s="72">
        <f t="shared" ref="AF37:AF39" si="32">J37-AC37-AD37-AE37</f>
        <v>-249.85510474778403</v>
      </c>
      <c r="AG37" s="76">
        <f>'[6]MDA table'!$CV$48</f>
        <v>-189.37865765538601</v>
      </c>
    </row>
    <row r="38" spans="1:33" hidden="1" outlineLevel="1">
      <c r="A38" s="2" t="s">
        <v>63</v>
      </c>
      <c r="B38" s="45" t="s">
        <v>38</v>
      </c>
      <c r="C38" s="75">
        <v>2451</v>
      </c>
      <c r="D38" s="75">
        <f>'[11]Conso THB'!$FB$171-'[11]Conso THB'!$FB$188</f>
        <v>8359</v>
      </c>
      <c r="E38" s="75">
        <f>'[11]Conso THB'!$DO$171-'[11]Conso THB'!$DO$188</f>
        <v>147.54</v>
      </c>
      <c r="F38" s="75">
        <f>'[11]Conso THB'!$CE$171-'[11]Conso THB'!$CE$188</f>
        <v>-298.07577206272498</v>
      </c>
      <c r="G38" s="75">
        <f>'[11]Conso THB'!$AO$171-'[11]Conso THB'!$AO$188</f>
        <v>506.41430900335786</v>
      </c>
      <c r="H38" s="75">
        <f>'[11]Conso THB'!$AN$171-'[11]Conso THB'!$AN$188</f>
        <v>2628.3745511458674</v>
      </c>
      <c r="I38" s="75">
        <f>'[4]MDA table'!$AG$45</f>
        <v>6021.7989916368942</v>
      </c>
      <c r="J38" s="75">
        <f>'[5]MDA table'!$CI$49</f>
        <v>1380.6485665666301</v>
      </c>
      <c r="K38" s="73">
        <f t="shared" ref="K38:K39" si="33">Z38+AA38+AB38+AC38</f>
        <v>2731.9797279240943</v>
      </c>
      <c r="L38" s="74">
        <f>'[6]MDA table'!$DA$49</f>
        <v>1380.6485665666301</v>
      </c>
      <c r="M38" s="75">
        <f>'[11]Conso THB'!$DE$171-'[11]Conso THB'!$DE$188</f>
        <v>0</v>
      </c>
      <c r="N38" s="75">
        <f>'[11]Conso THB'!$CS$171-'[11]Conso THB'!$CS$188</f>
        <v>0</v>
      </c>
      <c r="O38" s="75">
        <f>'[11]Conso THB'!$CJ$171-'[11]Conso THB'!$CJ$188</f>
        <v>-8.5312179999999987E-2</v>
      </c>
      <c r="P38" s="75">
        <f>F38-M38-N38-O38</f>
        <v>-297.99045988272496</v>
      </c>
      <c r="Q38" s="75">
        <f>'[11]Conso THB'!$BR$171-'[11]Conso THB'!$BR$188</f>
        <v>0</v>
      </c>
      <c r="R38" s="75">
        <f>'[11]Conso THB'!$BF$171-'[11]Conso THB'!$BF$188</f>
        <v>403.27290083075695</v>
      </c>
      <c r="S38" s="75">
        <f>'[11]Conso THB'!$AT$171-'[11]Conso THB'!$AT$188</f>
        <v>3.332858950670925E-4</v>
      </c>
      <c r="T38" s="75">
        <f>'[11]Conso THB'!$AK$171-'[11]Conso THB'!$AK$188</f>
        <v>103.14107488670584</v>
      </c>
      <c r="U38" s="72">
        <f>'[11]Conso THB'!$AB$171-'[11]Conso THB'!$AB$188</f>
        <v>192.80832173209899</v>
      </c>
      <c r="V38" s="75">
        <f>'[11]Conso THB'!$P$171-'[11]Conso THB'!$P$188</f>
        <v>2756.7833940067594</v>
      </c>
      <c r="W38" s="75">
        <f>'[11]MDA table'!$T$45</f>
        <v>-1.0571094541944603E-6</v>
      </c>
      <c r="X38" s="72">
        <f>H38-U38-V38-W38</f>
        <v>-321.2171635358817</v>
      </c>
      <c r="Y38" s="72">
        <f>'[11]Conso THB'!$O$171-'[11]Conso THB'!$O$188</f>
        <v>3289.8192637128</v>
      </c>
      <c r="Z38" s="72">
        <f>'[11]MDA table'!R45</f>
        <v>2608.4598285793727</v>
      </c>
      <c r="AA38" s="72">
        <f>'[11]MDA table'!Q45</f>
        <v>432.90314050443988</v>
      </c>
      <c r="AB38" s="72">
        <f t="shared" si="31"/>
        <v>-309.3832411597183</v>
      </c>
      <c r="AC38" s="72">
        <f>'[15]MDA table'!$AK$46</f>
        <v>0</v>
      </c>
      <c r="AD38" s="72">
        <f>'[12]MDA table'!$AT$50</f>
        <v>-1.69156295</v>
      </c>
      <c r="AE38" s="72">
        <f>'[13]MDA table'!$BL$49</f>
        <v>-1214.9292228754421</v>
      </c>
      <c r="AF38" s="72">
        <f t="shared" si="32"/>
        <v>2597.2693523920721</v>
      </c>
      <c r="AG38" s="76">
        <f>'[6]MDA table'!$CV$49</f>
        <v>0</v>
      </c>
    </row>
    <row r="39" spans="1:33" hidden="1" outlineLevel="1">
      <c r="A39" s="2" t="s">
        <v>64</v>
      </c>
      <c r="B39" s="45" t="s">
        <v>38</v>
      </c>
      <c r="C39" s="75"/>
      <c r="D39" s="75">
        <f>'[11]Conso THB'!$FB$173+'[11]Conso THB'!$FB$188+'[11]Conso THB'!$FB$175</f>
        <v>-1744.58</v>
      </c>
      <c r="E39" s="75">
        <f>'[11]Conso THB'!$DO$173+'[11]Conso THB'!$DO$188+'[11]Conso THB'!$DO$175</f>
        <v>1587.94</v>
      </c>
      <c r="F39" s="75">
        <f>'[11]Conso THB'!$CE$173+'[11]Conso THB'!$CE$188+'[11]Conso THB'!$CE$175</f>
        <v>458.08446489599999</v>
      </c>
      <c r="G39" s="75">
        <f>'[11]Conso THB'!$AO$173+'[11]Conso THB'!$AO$188</f>
        <v>-438.2021690877657</v>
      </c>
      <c r="H39" s="75">
        <f>'[11]Conso THB'!$AN$173+'[11]Conso THB'!$AN$188</f>
        <v>-50.104234876333749</v>
      </c>
      <c r="I39" s="75">
        <f>'[4]MDA table'!$AG$46</f>
        <v>503.63341032299786</v>
      </c>
      <c r="J39" s="75">
        <f>'[5]MDA table'!$CI$50</f>
        <v>3363.73687559463</v>
      </c>
      <c r="K39" s="73">
        <f t="shared" si="33"/>
        <v>552.89625350916288</v>
      </c>
      <c r="L39" s="74">
        <f>'[6]MDA table'!$DA$50</f>
        <v>3312.7522866653908</v>
      </c>
      <c r="M39" s="75">
        <f>'[11]Conso THB'!$DE$173+'[11]Conso THB'!$DE$188</f>
        <v>291.05450661000003</v>
      </c>
      <c r="N39" s="75">
        <f>'[11]Conso THB'!$CS$173+'[11]Conso THB'!$CS$188</f>
        <v>72.062498382046044</v>
      </c>
      <c r="O39" s="75">
        <f>'[11]Conso THB'!$CJ$173+'[11]Conso THB'!$CJ$188+'[11]Conso THB'!$CJ$175</f>
        <v>364.97673035495393</v>
      </c>
      <c r="P39" s="75">
        <f>F39-M39-N39-O39</f>
        <v>-270.00927045100002</v>
      </c>
      <c r="Q39" s="75">
        <f>'[11]Conso THB'!$BR$173+'[11]Conso THB'!$BR$188</f>
        <v>-55.053591657683299</v>
      </c>
      <c r="R39" s="75">
        <f>'[11]Conso THB'!$BF$173+'[11]Conso THB'!$BF$188</f>
        <v>-106.69497053838677</v>
      </c>
      <c r="S39" s="75">
        <f>'[11]Conso THB'!$AT$173+'[11]Conso THB'!$AT$188</f>
        <v>-273.52538863996824</v>
      </c>
      <c r="T39" s="75">
        <f>'[11]Conso THB'!$AK$173+'[11]Conso THB'!$AK$188</f>
        <v>-2.9282182517274578</v>
      </c>
      <c r="U39" s="72">
        <f>'[11]Conso THB'!$AB$173+'[11]Conso THB'!$AB$188</f>
        <v>-36.112902954755995</v>
      </c>
      <c r="V39" s="75">
        <f>'[11]Conso THB'!$P$173+'[11]Conso THB'!$P$188</f>
        <v>-3.0246208255489364</v>
      </c>
      <c r="W39" s="75">
        <f>'[11]MDA table'!$T$46</f>
        <v>-2.9717593871851129</v>
      </c>
      <c r="X39" s="72">
        <f>H39-U39-V39-W39</f>
        <v>-7.9949517088437041</v>
      </c>
      <c r="Y39" s="72">
        <f>'[11]Conso THB'!$O$173+'[11]Conso THB'!$O$188</f>
        <v>-3.2733200475500004</v>
      </c>
      <c r="Z39" s="72">
        <f>'[11]MDA table'!R46</f>
        <v>-81.431682935355866</v>
      </c>
      <c r="AA39" s="72">
        <f>'[11]MDA table'!Q46</f>
        <v>-17.103476973875217</v>
      </c>
      <c r="AB39" s="72">
        <f t="shared" si="31"/>
        <v>605.44189027977893</v>
      </c>
      <c r="AC39" s="72">
        <f>'[15]MDA table'!$AK$47</f>
        <v>45.989523138615006</v>
      </c>
      <c r="AD39" s="72">
        <f>'[12]MDA table'!$AT$51</f>
        <v>6.2450766466619658</v>
      </c>
      <c r="AE39" s="72">
        <f>'[13]MDA table'!$BL$50</f>
        <v>-31.79136450303281</v>
      </c>
      <c r="AF39" s="72">
        <f t="shared" si="32"/>
        <v>3343.2936403123858</v>
      </c>
      <c r="AG39" s="76">
        <f>'[6]MDA table'!$CV$50</f>
        <v>-4.9950657906240155</v>
      </c>
    </row>
    <row r="40" spans="1:33" collapsed="1">
      <c r="A40" s="2" t="s">
        <v>47</v>
      </c>
      <c r="B40" s="45" t="s">
        <v>38</v>
      </c>
      <c r="C40" s="68">
        <f t="shared" ref="C40:H40" si="34">C23</f>
        <v>0</v>
      </c>
      <c r="D40" s="68">
        <f t="shared" si="34"/>
        <v>0</v>
      </c>
      <c r="E40" s="68">
        <f t="shared" si="34"/>
        <v>115.94154581464539</v>
      </c>
      <c r="F40" s="68">
        <f t="shared" si="34"/>
        <v>-268.25934087467289</v>
      </c>
      <c r="G40" s="68">
        <f t="shared" si="34"/>
        <v>-390.89143822891293</v>
      </c>
      <c r="H40" s="68">
        <f t="shared" si="34"/>
        <v>-593.1190370836897</v>
      </c>
      <c r="I40" s="68">
        <f>I23</f>
        <v>56.347497756833029</v>
      </c>
      <c r="J40" s="68">
        <f>J23</f>
        <v>169.15565555441154</v>
      </c>
      <c r="K40" s="69">
        <f>K23</f>
        <v>324.79291386829112</v>
      </c>
      <c r="L40" s="70">
        <f>L23</f>
        <v>53.381799068401349</v>
      </c>
      <c r="M40" s="68">
        <f t="shared" ref="M40:AE40" si="35">M23</f>
        <v>54.737027409069398</v>
      </c>
      <c r="N40" s="68">
        <f t="shared" si="35"/>
        <v>-201.26483777382106</v>
      </c>
      <c r="O40" s="68">
        <f t="shared" si="35"/>
        <v>-97.511427262966478</v>
      </c>
      <c r="P40" s="68">
        <f t="shared" si="35"/>
        <v>-24.220103246954764</v>
      </c>
      <c r="Q40" s="68">
        <f t="shared" si="35"/>
        <v>-117.0512447811938</v>
      </c>
      <c r="R40" s="68">
        <f t="shared" si="35"/>
        <v>19.940306716824125</v>
      </c>
      <c r="S40" s="68">
        <f t="shared" si="35"/>
        <v>29.630653385480542</v>
      </c>
      <c r="T40" s="68">
        <f t="shared" si="35"/>
        <v>-323.41115355002376</v>
      </c>
      <c r="U40" s="68">
        <f t="shared" si="35"/>
        <v>-375.75253516743965</v>
      </c>
      <c r="V40" s="68">
        <f t="shared" si="35"/>
        <v>258.45259906219889</v>
      </c>
      <c r="W40" s="68">
        <f t="shared" si="35"/>
        <v>-250.62671858673917</v>
      </c>
      <c r="X40" s="68">
        <f t="shared" si="35"/>
        <v>-225.19238239170977</v>
      </c>
      <c r="Y40" s="68">
        <f t="shared" si="35"/>
        <v>-59.087616091598122</v>
      </c>
      <c r="Z40" s="68">
        <f t="shared" si="35"/>
        <v>134.87334143073096</v>
      </c>
      <c r="AA40" s="68">
        <f t="shared" si="35"/>
        <v>-60.815246784481374</v>
      </c>
      <c r="AB40" s="68">
        <f t="shared" si="35"/>
        <v>41.377019202181557</v>
      </c>
      <c r="AC40" s="68">
        <f t="shared" si="35"/>
        <v>209.35759774103565</v>
      </c>
      <c r="AD40" s="68">
        <f t="shared" si="35"/>
        <v>-45.830441508645691</v>
      </c>
      <c r="AE40" s="68">
        <f t="shared" si="35"/>
        <v>-18.245909103051332</v>
      </c>
      <c r="AF40" s="68">
        <f>AF23</f>
        <v>23.874408425072914</v>
      </c>
      <c r="AG40" s="71">
        <f t="shared" ref="AG40" si="36">AG23</f>
        <v>93.583741255025458</v>
      </c>
    </row>
    <row r="41" spans="1:33" s="5" customFormat="1">
      <c r="A41" s="99" t="s">
        <v>65</v>
      </c>
      <c r="B41" s="100" t="s">
        <v>38</v>
      </c>
      <c r="C41" s="101">
        <f t="shared" ref="C41:H41" si="37">C26+C34+C36-C40</f>
        <v>10413.553773575026</v>
      </c>
      <c r="D41" s="101">
        <f t="shared" si="37"/>
        <v>15556.999999999985</v>
      </c>
      <c r="E41" s="101">
        <f t="shared" si="37"/>
        <v>2740.1609999999932</v>
      </c>
      <c r="F41" s="101">
        <f t="shared" si="37"/>
        <v>1523.2206781872155</v>
      </c>
      <c r="G41" s="101">
        <f t="shared" si="37"/>
        <v>1675.0690621448323</v>
      </c>
      <c r="H41" s="101">
        <f t="shared" si="37"/>
        <v>6609.2643809108404</v>
      </c>
      <c r="I41" s="101">
        <f>I26+I34+I36-I40</f>
        <v>16197.103522955083</v>
      </c>
      <c r="J41" s="101">
        <f>J26+J34+J36-J40</f>
        <v>20882.862570801462</v>
      </c>
      <c r="K41" s="102">
        <f>K26+K34+K36-K40</f>
        <v>16519.115638926232</v>
      </c>
      <c r="L41" s="63">
        <f>L26+L34+L36-L40</f>
        <v>22270.412228448891</v>
      </c>
      <c r="M41" s="101">
        <f t="shared" ref="M41:AB41" si="38">M26+M34+M36-M40</f>
        <v>490.858</v>
      </c>
      <c r="N41" s="101">
        <f t="shared" si="38"/>
        <v>214.27899999999431</v>
      </c>
      <c r="O41" s="101">
        <f t="shared" si="38"/>
        <v>1090.1780000000072</v>
      </c>
      <c r="P41" s="101">
        <f t="shared" si="38"/>
        <v>-469.45200000000381</v>
      </c>
      <c r="Q41" s="101">
        <f t="shared" si="38"/>
        <v>415.42514674153222</v>
      </c>
      <c r="R41" s="101">
        <f t="shared" si="38"/>
        <v>1530.1213755458723</v>
      </c>
      <c r="S41" s="101">
        <f t="shared" si="38"/>
        <v>634.87913389050436</v>
      </c>
      <c r="T41" s="101">
        <f t="shared" si="38"/>
        <v>-905.35659403308546</v>
      </c>
      <c r="U41" s="101">
        <f t="shared" si="38"/>
        <v>410.28923856144206</v>
      </c>
      <c r="V41" s="101">
        <f>V26+V34+V36-V40</f>
        <v>5417.1875476045798</v>
      </c>
      <c r="W41" s="101">
        <f t="shared" si="38"/>
        <v>479.35671054105643</v>
      </c>
      <c r="X41" s="101">
        <f t="shared" si="38"/>
        <v>302.43088420375079</v>
      </c>
      <c r="Y41" s="101">
        <f t="shared" si="38"/>
        <v>4104.4571139999998</v>
      </c>
      <c r="Z41" s="101">
        <f t="shared" si="38"/>
        <v>5949.5437314878063</v>
      </c>
      <c r="AA41" s="101">
        <f t="shared" si="38"/>
        <v>3183.6645245121967</v>
      </c>
      <c r="AB41" s="101">
        <f t="shared" si="38"/>
        <v>2959.43846537538</v>
      </c>
      <c r="AC41" s="101">
        <f>AC26+AC34+AC36-AC40</f>
        <v>4426.469493906613</v>
      </c>
      <c r="AD41" s="101">
        <f>AD26+AD34+AD36-AD40</f>
        <v>2937.0783612140935</v>
      </c>
      <c r="AE41" s="101">
        <f t="shared" ref="AE41" si="39">AE26+AE34+AE36-AE40</f>
        <v>3516.4462597240599</v>
      </c>
      <c r="AF41" s="101">
        <f>AF26+AF34+AF36-AF40</f>
        <v>10002.868455956695</v>
      </c>
      <c r="AG41" s="64">
        <f>AG26+AG34+AG36-AG40</f>
        <v>5814.0191515539937</v>
      </c>
    </row>
    <row r="42" spans="1:33" s="85" customFormat="1">
      <c r="A42" s="85" t="s">
        <v>66</v>
      </c>
      <c r="B42" s="85" t="s">
        <v>57</v>
      </c>
      <c r="C42" s="91">
        <f t="shared" ref="C42:F42" si="40">(C41+C29)/C30</f>
        <v>2.4560054012677308</v>
      </c>
      <c r="D42" s="91">
        <f t="shared" si="40"/>
        <v>3.2834633288201602</v>
      </c>
      <c r="E42" s="91">
        <f t="shared" si="40"/>
        <v>0.56917630280227949</v>
      </c>
      <c r="F42" s="91">
        <f t="shared" si="40"/>
        <v>0.31639787368792643</v>
      </c>
      <c r="G42" s="91">
        <f>(G41+G29)/G30</f>
        <v>0.31089177369659959</v>
      </c>
      <c r="H42" s="91">
        <f t="shared" ref="H42:AD42" si="41">(H41+H29)/H30</f>
        <v>1.1547502305985826</v>
      </c>
      <c r="I42" s="91">
        <f>(I41+I29)/I30</f>
        <v>3.1462915936106399</v>
      </c>
      <c r="J42" s="91">
        <f>(J41+J29)/J30</f>
        <v>3.9783514879701607</v>
      </c>
      <c r="K42" s="92">
        <f>(K41+K29)/K30</f>
        <v>3.2137725858985942</v>
      </c>
      <c r="L42" s="93">
        <f>(L41+L29)/L30</f>
        <v>4.1477763763377524</v>
      </c>
      <c r="M42" s="91">
        <f t="shared" si="41"/>
        <v>0.10195924313969945</v>
      </c>
      <c r="N42" s="91">
        <f t="shared" si="41"/>
        <v>4.4509256568561736E-2</v>
      </c>
      <c r="O42" s="91">
        <f t="shared" si="41"/>
        <v>0.22644781946622444</v>
      </c>
      <c r="P42" s="91">
        <f t="shared" si="41"/>
        <v>-9.7512866471400228E-2</v>
      </c>
      <c r="Q42" s="91">
        <f t="shared" si="41"/>
        <v>8.6290604498582488E-2</v>
      </c>
      <c r="R42" s="91">
        <f t="shared" si="41"/>
        <v>0.31783126151052438</v>
      </c>
      <c r="S42" s="91">
        <f t="shared" si="41"/>
        <v>0.13187479062511712</v>
      </c>
      <c r="T42" s="91">
        <f t="shared" si="41"/>
        <v>-0.22510488293762621</v>
      </c>
      <c r="U42" s="91">
        <f t="shared" si="41"/>
        <v>3.1445169830443424E-2</v>
      </c>
      <c r="V42" s="91">
        <f t="shared" si="41"/>
        <v>1.0708623834761568</v>
      </c>
      <c r="W42" s="91">
        <f t="shared" si="41"/>
        <v>4.4596534064234715E-2</v>
      </c>
      <c r="X42" s="91">
        <f t="shared" si="41"/>
        <v>7.8461432277453381E-3</v>
      </c>
      <c r="Y42" s="91">
        <f t="shared" si="41"/>
        <v>0.79822939179106611</v>
      </c>
      <c r="Z42" s="91">
        <f t="shared" si="41"/>
        <v>1.1817349343503296</v>
      </c>
      <c r="AA42" s="91">
        <f t="shared" si="41"/>
        <v>0.60647385488038252</v>
      </c>
      <c r="AB42" s="91">
        <f t="shared" si="41"/>
        <v>0.55989857638826224</v>
      </c>
      <c r="AC42" s="91">
        <f t="shared" si="41"/>
        <v>0.86566511300965976</v>
      </c>
      <c r="AD42" s="91">
        <f t="shared" si="41"/>
        <v>0.55569591405874119</v>
      </c>
      <c r="AE42" s="91">
        <f>(AE41+AE29)/AE30</f>
        <v>0.64247234001008913</v>
      </c>
      <c r="AF42" s="91">
        <f>J42-AC42-AD42-AE42</f>
        <v>1.9145181208916706</v>
      </c>
      <c r="AG42" s="94">
        <f>(AG41+AG29)/AG30</f>
        <v>1.039280442845081</v>
      </c>
    </row>
    <row r="43" spans="1:33" s="18" customFormat="1" ht="25.5">
      <c r="A43" s="11" t="s">
        <v>67</v>
      </c>
      <c r="B43" s="12"/>
      <c r="C43" s="12"/>
      <c r="D43" s="12"/>
      <c r="E43" s="12"/>
      <c r="F43" s="12"/>
      <c r="G43" s="13"/>
      <c r="H43" s="13"/>
      <c r="I43" s="13"/>
      <c r="J43" s="13"/>
      <c r="K43" s="14"/>
      <c r="L43" s="95"/>
      <c r="M43" s="13"/>
      <c r="N43" s="13"/>
      <c r="O43" s="13"/>
      <c r="P43" s="13"/>
      <c r="Q43" s="13"/>
      <c r="R43" s="13"/>
      <c r="S43" s="13"/>
      <c r="T43" s="13"/>
      <c r="U43" s="13"/>
      <c r="V43" s="13"/>
      <c r="W43" s="13"/>
      <c r="X43" s="13"/>
      <c r="Y43" s="13"/>
      <c r="Z43" s="13"/>
      <c r="AA43" s="13"/>
      <c r="AB43" s="13"/>
      <c r="AC43" s="13"/>
      <c r="AD43" s="13"/>
      <c r="AE43" s="13"/>
      <c r="AF43" s="13"/>
      <c r="AG43" s="96"/>
    </row>
    <row r="44" spans="1:33">
      <c r="A44" s="2" t="s">
        <v>68</v>
      </c>
      <c r="B44" s="45" t="s">
        <v>38</v>
      </c>
      <c r="C44" s="72">
        <f>'[14]Conso THB'!$EP$100</f>
        <v>32068</v>
      </c>
      <c r="D44" s="72">
        <f>'[14]Conso THB'!$CZ$100</f>
        <v>61346</v>
      </c>
      <c r="E44" s="72">
        <f>'[14]Conso THB'!$BM$100</f>
        <v>80629.5</v>
      </c>
      <c r="F44" s="72">
        <f>'[14]Conso THB'!$AC$100</f>
        <v>85266.07</v>
      </c>
      <c r="G44" s="72">
        <f>'[14]Conso THB'!$AB$100</f>
        <v>73293.569863471726</v>
      </c>
      <c r="H44" s="72">
        <f>'[8]Conso THB'!$G$101</f>
        <v>83606.256000000008</v>
      </c>
      <c r="I44" s="72">
        <f>'[4]Conso THB'!$G$101</f>
        <v>102105.549</v>
      </c>
      <c r="J44" s="72">
        <f>'[5]Conso THB'!$G$101</f>
        <v>95785.069999999992</v>
      </c>
      <c r="K44" s="73">
        <f>'[6]Conso THB'!$H$101</f>
        <v>98501.267000000007</v>
      </c>
      <c r="L44" s="74">
        <f>'[6]Conso THB'!$G$101</f>
        <v>90728.180000000008</v>
      </c>
      <c r="M44" s="72">
        <f>'[14]Conso THB'!$BC$100</f>
        <v>80750.8</v>
      </c>
      <c r="N44" s="72">
        <f>'[14]Conso THB'!$AQ$100</f>
        <v>81514.714000000007</v>
      </c>
      <c r="O44" s="72">
        <f>'[14]Conso THB'!$AH$100</f>
        <v>81631.187999999995</v>
      </c>
      <c r="P44" s="72">
        <f>'[14]Conso THB'!$Y$100</f>
        <v>85266.07</v>
      </c>
      <c r="Q44" s="72">
        <f>'[14]Conso THB'!$P$100</f>
        <v>82872.926999999996</v>
      </c>
      <c r="R44" s="72">
        <f>'[14]Conso THB'!$D$100</f>
        <v>82279.580249575112</v>
      </c>
      <c r="S44" s="72">
        <f>'[14]Conso THB'!$X$100</f>
        <v>80253.555769527709</v>
      </c>
      <c r="T44" s="72">
        <f>'[14]Conso THB'!$O$100</f>
        <v>73293.569863471726</v>
      </c>
      <c r="U44" s="72">
        <f>'[9]Conso THB'!$D$101</f>
        <v>72039.027667787741</v>
      </c>
      <c r="V44" s="72">
        <f>'[14]Conso THB'!$B$100</f>
        <v>79030.668024987623</v>
      </c>
      <c r="W44" s="72">
        <f>'[7]Conso THB'!$B$100</f>
        <v>84997.556000000011</v>
      </c>
      <c r="X44" s="72">
        <f>'[8]Conso THB'!$B$101</f>
        <v>83606.256000000008</v>
      </c>
      <c r="Y44" s="72">
        <f>'[9]Conso THB'!$B$101</f>
        <v>100455.768</v>
      </c>
      <c r="Z44" s="72">
        <f>'[10]Conso THB'!$B$101</f>
        <v>106954.18999999999</v>
      </c>
      <c r="AA44" s="72">
        <f>'[11]Conso THB'!$B$101</f>
        <v>99326.966000000015</v>
      </c>
      <c r="AB44" s="72">
        <f>I44</f>
        <v>102105.549</v>
      </c>
      <c r="AC44" s="72">
        <f>'[15]Conso THB'!$B$101</f>
        <v>98501.267000000007</v>
      </c>
      <c r="AD44" s="72">
        <f>'[12]Conso THB'!$B$101</f>
        <v>106689.10248027041</v>
      </c>
      <c r="AE44" s="72">
        <f>'[13]Conso THB'!$B$101</f>
        <v>92766.872999999992</v>
      </c>
      <c r="AF44" s="72">
        <f>J44</f>
        <v>95785.069999999992</v>
      </c>
      <c r="AG44" s="76">
        <f>'[6]Conso THB'!$B$101</f>
        <v>90728.180000000008</v>
      </c>
    </row>
    <row r="45" spans="1:33">
      <c r="A45" s="2" t="s">
        <v>69</v>
      </c>
      <c r="B45" s="45" t="s">
        <v>38</v>
      </c>
      <c r="C45" s="68">
        <f>-'[14]Conso THB'!$EP$57-'[14]Conso THB'!$EP$101</f>
        <v>-2024</v>
      </c>
      <c r="D45" s="68">
        <f>-'[14]Conso THB'!$CZ$57-'[14]Conso THB'!$CZ$101</f>
        <v>-17707</v>
      </c>
      <c r="E45" s="68">
        <f>-'[14]Conso THB'!$BM$57-'[14]Conso THB'!$BM$101</f>
        <v>-4630.9381259041384</v>
      </c>
      <c r="F45" s="68">
        <f>-'[14]Conso THB'!$AC$57-'[14]Conso THB'!$AC$101</f>
        <v>-4352.061463102631</v>
      </c>
      <c r="G45" s="68">
        <f>-'[14]Conso THB'!$AB$57-'[14]Conso THB'!$AB$101</f>
        <v>-10638.0321247388</v>
      </c>
      <c r="H45" s="68">
        <f>-'[8]Conso THB'!$G$57-'[8]Conso THB'!$G$102</f>
        <v>-4272.0353064633837</v>
      </c>
      <c r="I45" s="68">
        <f>-'[4]Conso THB'!$G$57-'[4]Conso THB'!$G$102</f>
        <v>-4577.0329008658773</v>
      </c>
      <c r="J45" s="68">
        <f>-'[5]Conso THB'!$G$57-'[5]Conso THB'!$G$102</f>
        <v>-6818.0423681090706</v>
      </c>
      <c r="K45" s="69">
        <f>-'[6]Conso THB'!$H$57-'[6]Conso THB'!$H$102</f>
        <v>-5128.0085650903056</v>
      </c>
      <c r="L45" s="70">
        <f>-'[6]Conso THB'!$G$57-'[6]Conso THB'!$G$102</f>
        <v>-13206.035969011054</v>
      </c>
      <c r="M45" s="68">
        <f>-'[14]Conso THB'!$BC$57-'[14]Conso THB'!$BC$101</f>
        <v>-5740.9826943598855</v>
      </c>
      <c r="N45" s="68">
        <f>-'[14]Conso THB'!$AQ$57-'[14]Conso THB'!$AQ$101</f>
        <v>-4421.292337585799</v>
      </c>
      <c r="O45" s="68">
        <f>-'[14]Conso THB'!$AH$57-'[14]Conso THB'!$AH$101</f>
        <v>-3779.4263705572603</v>
      </c>
      <c r="P45" s="68">
        <f>-'[14]Conso THB'!$Y$57-'[14]Conso THB'!$Y$101</f>
        <v>-4352.061463102631</v>
      </c>
      <c r="Q45" s="68">
        <f>-'[14]Conso THB'!$P$57-'[14]Conso THB'!$P$101</f>
        <v>-4517.9709426267864</v>
      </c>
      <c r="R45" s="68">
        <f>-'[14]Conso THB'!$D$57-'[14]Conso THB'!$D$101</f>
        <v>-4031.4262709832465</v>
      </c>
      <c r="S45" s="68">
        <f>-'[14]Conso THB'!$X$57-'[14]Conso THB'!$X$101</f>
        <v>-3809.3287502371727</v>
      </c>
      <c r="T45" s="68">
        <f>-'[14]Conso THB'!$O$57-'[14]Conso THB'!$O$101</f>
        <v>-10638.0321247388</v>
      </c>
      <c r="U45" s="68">
        <f>-'[9]Conso THB'!$D$57-'[9]Conso THB'!$D$102</f>
        <v>-14262.041877536063</v>
      </c>
      <c r="V45" s="68">
        <f>-'[14]Conso THB'!$B$57-'[14]Conso THB'!$B$101</f>
        <v>-6032.5445152640605</v>
      </c>
      <c r="W45" s="68">
        <f>-'[7]Conso THB'!$B$57-'[7]Conso THB'!$B$101</f>
        <v>-5298.3026745105944</v>
      </c>
      <c r="X45" s="68">
        <f>-'[8]Conso THB'!$B$57-'[8]Conso THB'!$B$102</f>
        <v>-4272.0353064633837</v>
      </c>
      <c r="Y45" s="68">
        <f>-'[9]Conso THB'!$B$57-'[9]Conso THB'!$B$102</f>
        <v>-7833.3299474426831</v>
      </c>
      <c r="Z45" s="68">
        <f>-'[10]Conso THB'!$B$57-'[10]Conso THB'!$B$102</f>
        <v>-4613.255366141505</v>
      </c>
      <c r="AA45" s="68">
        <f>-'[11]Conso THB'!$B$57-'[11]Conso THB'!$B$102</f>
        <v>-4091.5626393348684</v>
      </c>
      <c r="AB45" s="68">
        <f>I45</f>
        <v>-4577.0329008658773</v>
      </c>
      <c r="AC45" s="68">
        <f>-'[15]Conso THB'!$B$57-'[15]Conso THB'!$B$102</f>
        <v>-5128.0085650903056</v>
      </c>
      <c r="AD45" s="68">
        <f>-'[12]Conso THB'!$B$57-'[12]Conso THB'!$B$102</f>
        <v>-5514.4246033218324</v>
      </c>
      <c r="AE45" s="68">
        <f>-'[13]Conso THB'!$B$57-'[13]Conso THB'!$B$102</f>
        <v>-4556.8997920644651</v>
      </c>
      <c r="AF45" s="68">
        <f>J45</f>
        <v>-6818.0423681090706</v>
      </c>
      <c r="AG45" s="71">
        <f>-'[6]Conso THB'!$B$57-'[6]Conso THB'!$B$102</f>
        <v>-13206.035969011054</v>
      </c>
    </row>
    <row r="46" spans="1:33" ht="12.75" customHeight="1">
      <c r="A46" s="2" t="s">
        <v>70</v>
      </c>
      <c r="B46" s="45" t="s">
        <v>38</v>
      </c>
      <c r="C46" s="72">
        <f t="shared" ref="C46" si="42">C44+C45</f>
        <v>30044</v>
      </c>
      <c r="D46" s="72">
        <f>D44+D45</f>
        <v>43639</v>
      </c>
      <c r="E46" s="72">
        <f>E44+E45</f>
        <v>75998.56187409586</v>
      </c>
      <c r="F46" s="72">
        <f>F44+F45</f>
        <v>80914.008536897381</v>
      </c>
      <c r="G46" s="72">
        <f>G44+G45</f>
        <v>62655.537738732928</v>
      </c>
      <c r="H46" s="72">
        <f t="shared" ref="H46:AE46" si="43">H44+H45</f>
        <v>79334.220693536627</v>
      </c>
      <c r="I46" s="72">
        <f t="shared" si="43"/>
        <v>97528.516099134125</v>
      </c>
      <c r="J46" s="72">
        <f t="shared" si="43"/>
        <v>88967.027631890916</v>
      </c>
      <c r="K46" s="73">
        <f t="shared" si="43"/>
        <v>93373.258434909701</v>
      </c>
      <c r="L46" s="74">
        <f t="shared" si="43"/>
        <v>77522.144030988959</v>
      </c>
      <c r="M46" s="72">
        <f t="shared" si="43"/>
        <v>75009.817305640114</v>
      </c>
      <c r="N46" s="72">
        <f t="shared" si="43"/>
        <v>77093.421662414214</v>
      </c>
      <c r="O46" s="72">
        <f t="shared" si="43"/>
        <v>77851.761629442728</v>
      </c>
      <c r="P46" s="72">
        <f t="shared" si="43"/>
        <v>80914.008536897381</v>
      </c>
      <c r="Q46" s="72">
        <f t="shared" si="43"/>
        <v>78354.956057373216</v>
      </c>
      <c r="R46" s="72">
        <f t="shared" si="43"/>
        <v>78248.153978591872</v>
      </c>
      <c r="S46" s="72">
        <f t="shared" si="43"/>
        <v>76444.227019290542</v>
      </c>
      <c r="T46" s="72">
        <f t="shared" si="43"/>
        <v>62655.537738732928</v>
      </c>
      <c r="U46" s="72">
        <f t="shared" si="43"/>
        <v>57776.985790251681</v>
      </c>
      <c r="V46" s="72">
        <f t="shared" si="43"/>
        <v>72998.123509723562</v>
      </c>
      <c r="W46" s="72">
        <f t="shared" si="43"/>
        <v>79699.253325489422</v>
      </c>
      <c r="X46" s="72">
        <f t="shared" si="43"/>
        <v>79334.220693536627</v>
      </c>
      <c r="Y46" s="72">
        <f t="shared" si="43"/>
        <v>92622.438052557307</v>
      </c>
      <c r="Z46" s="72">
        <f t="shared" si="43"/>
        <v>102340.93463385849</v>
      </c>
      <c r="AA46" s="72">
        <f t="shared" si="43"/>
        <v>95235.40336066515</v>
      </c>
      <c r="AB46" s="72">
        <f t="shared" si="43"/>
        <v>97528.516099134125</v>
      </c>
      <c r="AC46" s="72">
        <f t="shared" si="43"/>
        <v>93373.258434909701</v>
      </c>
      <c r="AD46" s="72">
        <f t="shared" si="43"/>
        <v>101174.67787694857</v>
      </c>
      <c r="AE46" s="72">
        <f t="shared" si="43"/>
        <v>88209.973207935531</v>
      </c>
      <c r="AF46" s="72">
        <f>AF44+AF45</f>
        <v>88967.027631890916</v>
      </c>
      <c r="AG46" s="76">
        <f t="shared" ref="AG46" si="44">AG44+AG45</f>
        <v>77522.144030988959</v>
      </c>
    </row>
    <row r="47" spans="1:33" ht="12.75" customHeight="1">
      <c r="A47" s="2" t="s">
        <v>71</v>
      </c>
      <c r="B47" s="45" t="s">
        <v>38</v>
      </c>
      <c r="C47" s="68">
        <f>-'[14]Conso THB'!$EP$103</f>
        <v>0</v>
      </c>
      <c r="D47" s="68">
        <f>-'[14]Conso THB'!$CZ$103</f>
        <v>-6692</v>
      </c>
      <c r="E47" s="68">
        <f>-'[14]Conso THB'!$BM$103</f>
        <v>-4937.3659093819924</v>
      </c>
      <c r="F47" s="68">
        <f>-'[14]Conso THB'!$AC$103</f>
        <v>-7922.7349999999997</v>
      </c>
      <c r="G47" s="68">
        <f>-'[14]Conso THB'!$AB$103</f>
        <v>-4642.7640000000001</v>
      </c>
      <c r="H47" s="68">
        <f>-'[8]Conso THB'!$G$104</f>
        <v>-12037.809103577802</v>
      </c>
      <c r="I47" s="68">
        <f>-'[4]Conso THB'!$G$104</f>
        <v>-16490.128710519584</v>
      </c>
      <c r="J47" s="68">
        <f>-'[5]Conso THB'!$G$104</f>
        <v>-24952.00588455168</v>
      </c>
      <c r="K47" s="69">
        <f>-'[6]Conso THB'!$H$104</f>
        <v>-18421.679024350226</v>
      </c>
      <c r="L47" s="70">
        <f>-'[6]Conso THB'!$G$104</f>
        <v>-27236.301417741004</v>
      </c>
      <c r="M47" s="68">
        <f>-'[14]Conso THB'!$BC$103</f>
        <v>-7102.0716410933301</v>
      </c>
      <c r="N47" s="68">
        <f>-'[14]Conso THB'!$AQ$103</f>
        <v>-6676.3022775914696</v>
      </c>
      <c r="O47" s="68">
        <f>-'[14]Conso THB'!$AH$103</f>
        <v>-6705.2207351291809</v>
      </c>
      <c r="P47" s="68">
        <f>-'[14]Conso THB'!$Y$103</f>
        <v>-7922.7349999999997</v>
      </c>
      <c r="Q47" s="68">
        <f>-'[14]Conso THB'!$P$103</f>
        <v>-5556.8604547102332</v>
      </c>
      <c r="R47" s="68">
        <f>-'[14]Conso THB'!$D$103</f>
        <v>-6189.1612591057401</v>
      </c>
      <c r="S47" s="68">
        <f>-'[14]Conso THB'!$X$103</f>
        <v>-6188.1859999999997</v>
      </c>
      <c r="T47" s="68">
        <f>-'[14]Conso THB'!$O$103</f>
        <v>-4642.7640000000001</v>
      </c>
      <c r="U47" s="68">
        <f>-'[9]Conso THB'!$D$104</f>
        <v>-5158.0341910898405</v>
      </c>
      <c r="V47" s="68">
        <f>-'[14]Conso THB'!$B$103</f>
        <v>-5568.6256771612698</v>
      </c>
      <c r="W47" s="68">
        <f>-'[7]Conso THB'!$B$103</f>
        <v>-10528.984727162579</v>
      </c>
      <c r="X47" s="68">
        <f>-'[8]Conso THB'!$B$104</f>
        <v>-12037.809103577802</v>
      </c>
      <c r="Y47" s="68">
        <f>-'[9]Conso THB'!$B$104</f>
        <v>-27717.566694500369</v>
      </c>
      <c r="Z47" s="68">
        <f>-'[10]Conso THB'!$B$104</f>
        <v>-14042.493097259294</v>
      </c>
      <c r="AA47" s="68">
        <f>-'[11]Conso THB'!$B$104</f>
        <v>-14262.751060759279</v>
      </c>
      <c r="AB47" s="68">
        <f>I47</f>
        <v>-16490.128710519584</v>
      </c>
      <c r="AC47" s="68">
        <f>-'[15]Conso THB'!$B$104</f>
        <v>-18421.679024350226</v>
      </c>
      <c r="AD47" s="68">
        <f>-'[12]Conso THB'!$B$104</f>
        <v>-21586.360719009928</v>
      </c>
      <c r="AE47" s="68">
        <f>-'[13]Conso THB'!$B$104</f>
        <v>-25136.717668448793</v>
      </c>
      <c r="AF47" s="68">
        <f>J47</f>
        <v>-24952.00588455168</v>
      </c>
      <c r="AG47" s="71">
        <f>-'[6]Conso THB'!$B$104</f>
        <v>-27236.301417741004</v>
      </c>
    </row>
    <row r="48" spans="1:33" s="5" customFormat="1" ht="12.75" customHeight="1">
      <c r="A48" s="5" t="s">
        <v>72</v>
      </c>
      <c r="B48" s="104" t="s">
        <v>38</v>
      </c>
      <c r="C48" s="105">
        <f t="shared" ref="C48:H48" si="45">C46+C47</f>
        <v>30044</v>
      </c>
      <c r="D48" s="105">
        <f t="shared" si="45"/>
        <v>36947</v>
      </c>
      <c r="E48" s="105">
        <f t="shared" si="45"/>
        <v>71061.195964713872</v>
      </c>
      <c r="F48" s="105">
        <f t="shared" si="45"/>
        <v>72991.273536897381</v>
      </c>
      <c r="G48" s="105">
        <f t="shared" si="45"/>
        <v>58012.773738732925</v>
      </c>
      <c r="H48" s="105">
        <f t="shared" si="45"/>
        <v>67296.411589958821</v>
      </c>
      <c r="I48" s="105">
        <f>I46+I47</f>
        <v>81038.387388614545</v>
      </c>
      <c r="J48" s="105">
        <f>J46+J47</f>
        <v>64015.02174733924</v>
      </c>
      <c r="K48" s="106">
        <f>K46+K47</f>
        <v>74951.579410559469</v>
      </c>
      <c r="L48" s="63">
        <f>L46+L47</f>
        <v>50285.842613247951</v>
      </c>
      <c r="M48" s="105">
        <f t="shared" ref="M48:AD48" si="46">M46+M47</f>
        <v>67907.74566454679</v>
      </c>
      <c r="N48" s="105">
        <f t="shared" si="46"/>
        <v>70417.119384822741</v>
      </c>
      <c r="O48" s="105">
        <f t="shared" si="46"/>
        <v>71146.540894313541</v>
      </c>
      <c r="P48" s="105">
        <f t="shared" si="46"/>
        <v>72991.273536897381</v>
      </c>
      <c r="Q48" s="105">
        <f t="shared" si="46"/>
        <v>72798.095602662986</v>
      </c>
      <c r="R48" s="105">
        <f t="shared" si="46"/>
        <v>72058.992719486138</v>
      </c>
      <c r="S48" s="105">
        <f t="shared" si="46"/>
        <v>70256.04101929054</v>
      </c>
      <c r="T48" s="105">
        <f t="shared" si="46"/>
        <v>58012.773738732925</v>
      </c>
      <c r="U48" s="105">
        <f t="shared" si="46"/>
        <v>52618.951599161839</v>
      </c>
      <c r="V48" s="105">
        <f t="shared" si="46"/>
        <v>67429.497832562294</v>
      </c>
      <c r="W48" s="105">
        <f t="shared" si="46"/>
        <v>69170.268598326846</v>
      </c>
      <c r="X48" s="105">
        <f t="shared" si="46"/>
        <v>67296.411589958821</v>
      </c>
      <c r="Y48" s="105">
        <f t="shared" si="46"/>
        <v>64904.871358056938</v>
      </c>
      <c r="Z48" s="105">
        <f t="shared" si="46"/>
        <v>88298.441536599188</v>
      </c>
      <c r="AA48" s="105">
        <f t="shared" si="46"/>
        <v>80972.652299905865</v>
      </c>
      <c r="AB48" s="105">
        <f t="shared" si="46"/>
        <v>81038.387388614545</v>
      </c>
      <c r="AC48" s="105">
        <f t="shared" si="46"/>
        <v>74951.579410559469</v>
      </c>
      <c r="AD48" s="105">
        <f t="shared" si="46"/>
        <v>79588.31715793864</v>
      </c>
      <c r="AE48" s="105">
        <f>AE46+AE47</f>
        <v>63073.255539486738</v>
      </c>
      <c r="AF48" s="105">
        <f>AF46+AF47</f>
        <v>64015.02174733924</v>
      </c>
      <c r="AG48" s="64">
        <f>AG46+AG47</f>
        <v>50285.842613247951</v>
      </c>
    </row>
    <row r="49" spans="1:33" s="5" customFormat="1">
      <c r="A49" s="5" t="s">
        <v>73</v>
      </c>
      <c r="B49" s="104" t="s">
        <v>38</v>
      </c>
      <c r="C49" s="105">
        <f>'[14]Conso THB'!$EP$94</f>
        <v>32241</v>
      </c>
      <c r="D49" s="105">
        <f>'[14]Conso THB'!$CZ$94</f>
        <v>58766</v>
      </c>
      <c r="E49" s="105">
        <f>'[14]Conso THB'!$BM$94</f>
        <v>56564.706999999995</v>
      </c>
      <c r="F49" s="105">
        <f>'[15]Conso THB'!$CW$95+'[12]Restate 2015'!$Q$58/1000</f>
        <v>60434.997394367107</v>
      </c>
      <c r="G49" s="105">
        <f>'[8]Conso THB'!$H$95</f>
        <v>74609.631248535894</v>
      </c>
      <c r="H49" s="105">
        <f>'[8]Conso THB'!$G$95</f>
        <v>82952.963000000003</v>
      </c>
      <c r="I49" s="105">
        <f>'[4]Conso THB'!$G$95</f>
        <v>91814.931000000011</v>
      </c>
      <c r="J49" s="105">
        <f>'[5]Conso THB'!$G$95</f>
        <v>118986.692</v>
      </c>
      <c r="K49" s="106">
        <f>'[6]Conso THB'!$H$95</f>
        <v>93440.168000000005</v>
      </c>
      <c r="L49" s="63">
        <f>'[6]Conso THB'!$G$95</f>
        <v>127912.88099999999</v>
      </c>
      <c r="M49" s="105">
        <f>'[14]Conso THB'!$BC$94</f>
        <v>54007.3</v>
      </c>
      <c r="N49" s="105">
        <f>'[14]Conso THB'!$AQ$94</f>
        <v>57234.82</v>
      </c>
      <c r="O49" s="105">
        <f>'[14]Conso THB'!$AH$94</f>
        <v>58760.79</v>
      </c>
      <c r="P49" s="105">
        <f>'[14]Conso THB'!$Y$94</f>
        <v>61567.762999999999</v>
      </c>
      <c r="Q49" s="105">
        <f>'[14]Conso THB'!$P$94+'[12]Restate 2015'!$B$58/1000</f>
        <v>60309.250280780216</v>
      </c>
      <c r="R49" s="105">
        <f>'[14]Conso THB'!$D$94+'[12]Restate 2015'!$C$58/1000</f>
        <v>62078.504239036483</v>
      </c>
      <c r="S49" s="105">
        <f>'[14]Conso THB'!$X$94+'[12]Restate 2015'!$E$58/1000</f>
        <v>60179.359454840363</v>
      </c>
      <c r="T49" s="105">
        <f>G49</f>
        <v>74609.631248535894</v>
      </c>
      <c r="U49" s="105">
        <f>'[9]Conso THB'!$D$95</f>
        <v>72060.992946355676</v>
      </c>
      <c r="V49" s="105">
        <f>'[10]Conso THB'!$H$95</f>
        <v>79427.692673019992</v>
      </c>
      <c r="W49" s="105">
        <f>'[11]Conso THB'!$D$95</f>
        <v>84081.222673019991</v>
      </c>
      <c r="X49" s="105">
        <f>'[8]Conso THB'!$B$95</f>
        <v>82952.963000000003</v>
      </c>
      <c r="Y49" s="105">
        <f>'[9]Conso THB'!$B$95</f>
        <v>86293.237000000008</v>
      </c>
      <c r="Z49" s="105">
        <f>'[10]Conso THB'!$B$95</f>
        <v>89232.435000000012</v>
      </c>
      <c r="AA49" s="105">
        <f>'[11]Conso THB'!$B$95</f>
        <v>89248.565000000002</v>
      </c>
      <c r="AB49" s="105">
        <f>I49</f>
        <v>91814.931000000011</v>
      </c>
      <c r="AC49" s="105">
        <f>'[15]Conso THB'!$B$95</f>
        <v>93440.168000000005</v>
      </c>
      <c r="AD49" s="105">
        <f>'[12]Conso THB'!$B$95</f>
        <v>94796.490549151844</v>
      </c>
      <c r="AE49" s="105">
        <f>'[13]Conso THB'!$B$95</f>
        <v>110635.743</v>
      </c>
      <c r="AF49" s="105">
        <f>J49</f>
        <v>118986.692</v>
      </c>
      <c r="AG49" s="64">
        <f>'[6]Conso THB'!$B$95</f>
        <v>127912.88099999999</v>
      </c>
    </row>
    <row r="50" spans="1:33">
      <c r="A50" s="2" t="s">
        <v>74</v>
      </c>
      <c r="B50" s="45" t="s">
        <v>38</v>
      </c>
      <c r="C50" s="72">
        <f t="shared" ref="C50:H50" si="47">C49-C51-C52</f>
        <v>31908</v>
      </c>
      <c r="D50" s="72">
        <f t="shared" si="47"/>
        <v>58627</v>
      </c>
      <c r="E50" s="72">
        <f t="shared" si="47"/>
        <v>56237.407999999996</v>
      </c>
      <c r="F50" s="72">
        <f t="shared" si="47"/>
        <v>59389.54939436711</v>
      </c>
      <c r="G50" s="72">
        <f t="shared" si="47"/>
        <v>57679.351575515895</v>
      </c>
      <c r="H50" s="72">
        <f t="shared" si="47"/>
        <v>64951.17</v>
      </c>
      <c r="I50" s="72">
        <f>I49-I51-I52</f>
        <v>74181.302000000011</v>
      </c>
      <c r="J50" s="72">
        <f>J49-J51-J52</f>
        <v>102187.579</v>
      </c>
      <c r="K50" s="73">
        <f>K49-K51-K52</f>
        <v>75931.697</v>
      </c>
      <c r="L50" s="74">
        <f>L49-L51-L52</f>
        <v>111252.045</v>
      </c>
      <c r="M50" s="72">
        <f t="shared" ref="M50:AE50" si="48">M49-M51-M52</f>
        <v>53676.200000000004</v>
      </c>
      <c r="N50" s="72">
        <f t="shared" si="48"/>
        <v>56839.042999999998</v>
      </c>
      <c r="O50" s="72">
        <f t="shared" si="48"/>
        <v>58253.675999999999</v>
      </c>
      <c r="P50" s="72">
        <f t="shared" si="48"/>
        <v>60505.519</v>
      </c>
      <c r="Q50" s="72">
        <f t="shared" si="48"/>
        <v>59202.079452194121</v>
      </c>
      <c r="R50" s="72">
        <f t="shared" si="48"/>
        <v>59878.159357184755</v>
      </c>
      <c r="S50" s="72">
        <f t="shared" si="48"/>
        <v>58153.637914024781</v>
      </c>
      <c r="T50" s="72">
        <f t="shared" si="48"/>
        <v>57679.351575515895</v>
      </c>
      <c r="U50" s="72">
        <f t="shared" si="48"/>
        <v>55410.766585963509</v>
      </c>
      <c r="V50" s="72">
        <f t="shared" si="48"/>
        <v>62500.273999999998</v>
      </c>
      <c r="W50" s="72">
        <f t="shared" si="48"/>
        <v>66011.046999999991</v>
      </c>
      <c r="X50" s="72">
        <f t="shared" si="48"/>
        <v>64951.17</v>
      </c>
      <c r="Y50" s="72">
        <f t="shared" si="48"/>
        <v>68269.364000000001</v>
      </c>
      <c r="Z50" s="72">
        <f t="shared" si="48"/>
        <v>71298.379000000015</v>
      </c>
      <c r="AA50" s="72">
        <f t="shared" si="48"/>
        <v>71334.835000000006</v>
      </c>
      <c r="AB50" s="72">
        <f t="shared" si="48"/>
        <v>74181.302000000011</v>
      </c>
      <c r="AC50" s="72">
        <f t="shared" si="48"/>
        <v>75931.697</v>
      </c>
      <c r="AD50" s="72">
        <f t="shared" si="48"/>
        <v>77913.546263572178</v>
      </c>
      <c r="AE50" s="72">
        <f t="shared" si="48"/>
        <v>93755.369000000006</v>
      </c>
      <c r="AF50" s="72">
        <f>AF49-AF51-AF52</f>
        <v>102187.579</v>
      </c>
      <c r="AG50" s="76">
        <f t="shared" ref="AG50" si="49">AG49-AG51-AG52</f>
        <v>111252.045</v>
      </c>
    </row>
    <row r="51" spans="1:33">
      <c r="A51" s="2" t="s">
        <v>75</v>
      </c>
      <c r="B51" s="45" t="s">
        <v>38</v>
      </c>
      <c r="C51" s="72">
        <f>'[1]Historical Financials in USD'!C51*'[1]Historical Financials in USD'!C9</f>
        <v>333</v>
      </c>
      <c r="D51" s="72">
        <f>'[1]Historical Financials in USD'!D51*'[1]Historical Financials in USD'!D9</f>
        <v>139</v>
      </c>
      <c r="E51" s="72">
        <f>'[1]Historical Financials in USD'!E51*'[1]Historical Financials in USD'!E9</f>
        <v>327.29899999999998</v>
      </c>
      <c r="F51" s="72">
        <f>1045.448</f>
        <v>1045.4480000000001</v>
      </c>
      <c r="G51" s="72">
        <f>'[1]Historical Financials in USD'!G51*'[1]Historical Financials in USD'!G9</f>
        <v>2056.2080000000001</v>
      </c>
      <c r="H51" s="72">
        <f>'[1]Historical Financials in USD'!H51*'[1]Historical Financials in USD'!H9</f>
        <v>3127.721</v>
      </c>
      <c r="I51" s="72">
        <f>'[4]Conso THB'!$G$94</f>
        <v>2759.5569999999998</v>
      </c>
      <c r="J51" s="72">
        <f>'[5]Conso THB'!$G$94</f>
        <v>1925.0409999999999</v>
      </c>
      <c r="K51" s="73">
        <f>'[6]Conso THB'!$H$94</f>
        <v>2634.3989999999999</v>
      </c>
      <c r="L51" s="74">
        <f>'[6]Conso THB'!$G$94</f>
        <v>1786.7639999999999</v>
      </c>
      <c r="M51" s="72">
        <f>'[1]Historical Financials in USD'!M51*'[1]Historical Financials in USD'!M9</f>
        <v>331.1</v>
      </c>
      <c r="N51" s="72">
        <f>'[1]Historical Financials in USD'!N51*'[1]Historical Financials in USD'!N9</f>
        <v>395.77699999999999</v>
      </c>
      <c r="O51" s="72">
        <f>'[1]Historical Financials in USD'!O51*'[1]Historical Financials in USD'!O9</f>
        <v>507.11399999999998</v>
      </c>
      <c r="P51" s="72">
        <f>'[1]Historical Financials in USD'!P51*'[1]Historical Financials in USD'!P9</f>
        <v>1062.2439999999999</v>
      </c>
      <c r="Q51" s="72">
        <f>'[1]Historical Financials in USD'!Q51*'[1]Historical Financials in USD'!Q9+'[12]Restate 2015'!$B$59/1000</f>
        <v>1107.1708285860973</v>
      </c>
      <c r="R51" s="72">
        <f>'[1]Historical Financials in USD'!R51*'[1]Historical Financials in USD'!R9+'[12]Restate 2015'!$C$59/1000</f>
        <v>2200.3448818517259</v>
      </c>
      <c r="S51" s="72">
        <f>'[1]Historical Financials in USD'!S51*'[1]Historical Financials in USD'!S9+'[12]Restate 2015'!$E$59/1000</f>
        <v>2025.7215408155839</v>
      </c>
      <c r="T51" s="72">
        <f>G51</f>
        <v>2056.2080000000001</v>
      </c>
      <c r="U51" s="72">
        <f>'[1]Historical Financials in USD'!U51*'[1]Historical Financials in USD'!U9</f>
        <v>1776.15468737217</v>
      </c>
      <c r="V51" s="72">
        <f>'[1]Historical Financials in USD'!V51*'[1]Historical Financials in USD'!V9</f>
        <v>2053.3470000000002</v>
      </c>
      <c r="W51" s="72">
        <f>'[11]Conso THB'!$D$94</f>
        <v>3196.1039999999998</v>
      </c>
      <c r="X51" s="72">
        <f>'[1]Historical Financials in USD'!X51*'[1]Historical Financials in USD'!X9</f>
        <v>3127.721</v>
      </c>
      <c r="Y51" s="72">
        <f>'[1]Historical Financials in USD'!Y51*'[1]Historical Financials in USD'!Y9</f>
        <v>3149.8009999999999</v>
      </c>
      <c r="Z51" s="72">
        <f>'[10]Conso THB'!$B$94</f>
        <v>3059.9839999999999</v>
      </c>
      <c r="AA51" s="72">
        <f>'[11]Conso THB'!$B$94</f>
        <v>3039.6579999999999</v>
      </c>
      <c r="AB51" s="72">
        <f t="shared" ref="AB51:AB52" si="50">I51</f>
        <v>2759.5569999999998</v>
      </c>
      <c r="AC51" s="72">
        <f>'[15]Conso THB'!$B$94</f>
        <v>2634.3989999999999</v>
      </c>
      <c r="AD51" s="72">
        <f>'[12]Conso THB'!$B$94</f>
        <v>2008.8726125596804</v>
      </c>
      <c r="AE51" s="72">
        <f>'[13]Conso THB'!$B$94</f>
        <v>2006.3019999999999</v>
      </c>
      <c r="AF51" s="72">
        <f>J51</f>
        <v>1925.0409999999999</v>
      </c>
      <c r="AG51" s="76">
        <f>'[6]Conso THB'!$B$94</f>
        <v>1786.7639999999999</v>
      </c>
    </row>
    <row r="52" spans="1:33">
      <c r="A52" s="2" t="s">
        <v>76</v>
      </c>
      <c r="B52" s="45" t="s">
        <v>38</v>
      </c>
      <c r="C52" s="107">
        <f>'[14]Conso THB'!$EP$90</f>
        <v>0</v>
      </c>
      <c r="D52" s="107">
        <f>'[14]Conso THB'!$CZ$90</f>
        <v>0</v>
      </c>
      <c r="E52" s="107">
        <f>'[14]Conso THB'!$BM$90</f>
        <v>0</v>
      </c>
      <c r="F52" s="107">
        <f>'[14]Conso THB'!$AC$90</f>
        <v>0</v>
      </c>
      <c r="G52" s="72">
        <f>'[14]Conso THB'!$AB$90</f>
        <v>14874.07167302</v>
      </c>
      <c r="H52" s="72">
        <f>'[8]Conso THB'!$G$91</f>
        <v>14874.072</v>
      </c>
      <c r="I52" s="72">
        <f>'[4]Conso THB'!$G$91</f>
        <v>14874.072</v>
      </c>
      <c r="J52" s="72">
        <f>'[5]Conso THB'!$G$91</f>
        <v>14874.072</v>
      </c>
      <c r="K52" s="73">
        <f>'[6]Conso THB'!$H$91</f>
        <v>14874.072</v>
      </c>
      <c r="L52" s="74">
        <f>'[6]Conso THB'!$G$91</f>
        <v>14874.072</v>
      </c>
      <c r="M52" s="107">
        <f>'[14]Conso THB'!$BC$90</f>
        <v>0</v>
      </c>
      <c r="N52" s="107">
        <f>'[14]Conso THB'!$AQ$90</f>
        <v>0</v>
      </c>
      <c r="O52" s="107">
        <f>'[14]Conso THB'!$AH$90</f>
        <v>0</v>
      </c>
      <c r="P52" s="107">
        <f>'[14]Conso THB'!$Y$90</f>
        <v>0</v>
      </c>
      <c r="Q52" s="107">
        <f>'[14]Conso THB'!$P$90</f>
        <v>0</v>
      </c>
      <c r="R52" s="107">
        <f>'[14]Conso THB'!$D$90</f>
        <v>0</v>
      </c>
      <c r="S52" s="107">
        <f>'[14]Conso THB'!$X$90</f>
        <v>0</v>
      </c>
      <c r="T52" s="72">
        <f>'[14]Conso THB'!$O$90</f>
        <v>14874.07167302</v>
      </c>
      <c r="U52" s="72">
        <f>'[14]Conso THB'!$C$90</f>
        <v>14874.07167302</v>
      </c>
      <c r="V52" s="72">
        <f>'[14]Conso THB'!$B$90</f>
        <v>14874.07167302</v>
      </c>
      <c r="W52" s="72">
        <f>'[7]Conso THB'!$B$90</f>
        <v>14874.07167302</v>
      </c>
      <c r="X52" s="72">
        <f>'[8]Conso THB'!$B$91</f>
        <v>14874.072</v>
      </c>
      <c r="Y52" s="72">
        <f>'[9]Conso THB'!$B$91</f>
        <v>14874.072</v>
      </c>
      <c r="Z52" s="72">
        <f>'[10]Conso THB'!$B$91</f>
        <v>14874.072</v>
      </c>
      <c r="AA52" s="72">
        <f>'[11]Conso THB'!$B$91</f>
        <v>14874.072</v>
      </c>
      <c r="AB52" s="72">
        <f t="shared" si="50"/>
        <v>14874.072</v>
      </c>
      <c r="AC52" s="72">
        <f>'[15]Conso THB'!$B$91</f>
        <v>14874.072</v>
      </c>
      <c r="AD52" s="72">
        <f>'[12]Conso THB'!$B$91</f>
        <v>14874.07167302</v>
      </c>
      <c r="AE52" s="72">
        <f>'[13]Conso THB'!$B$91</f>
        <v>14874.072</v>
      </c>
      <c r="AF52" s="72">
        <f>J52</f>
        <v>14874.072</v>
      </c>
      <c r="AG52" s="76">
        <f>'[6]Conso THB'!$B$91</f>
        <v>14874.072</v>
      </c>
    </row>
    <row r="53" spans="1:33">
      <c r="A53" s="2" t="s">
        <v>77</v>
      </c>
      <c r="B53" s="45" t="s">
        <v>78</v>
      </c>
      <c r="C53" s="108">
        <f t="shared" ref="C53:AD53" si="51">C48/C49</f>
        <v>0.93185695232778143</v>
      </c>
      <c r="D53" s="108">
        <f t="shared" si="51"/>
        <v>0.62871388217676893</v>
      </c>
      <c r="E53" s="108">
        <f t="shared" si="51"/>
        <v>1.2562815178148785</v>
      </c>
      <c r="F53" s="108">
        <f t="shared" si="51"/>
        <v>1.2077649819457192</v>
      </c>
      <c r="G53" s="108">
        <f t="shared" si="51"/>
        <v>0.77755073665333707</v>
      </c>
      <c r="H53" s="108">
        <f t="shared" si="51"/>
        <v>0.81125988941418303</v>
      </c>
      <c r="I53" s="108">
        <f>I48/I49</f>
        <v>0.88262754767647256</v>
      </c>
      <c r="J53" s="108">
        <f>J48/J49</f>
        <v>0.53800152497171061</v>
      </c>
      <c r="K53" s="109">
        <f>K48/K49</f>
        <v>0.80213446759384532</v>
      </c>
      <c r="L53" s="110">
        <f>L48/L49</f>
        <v>0.39312571353347869</v>
      </c>
      <c r="M53" s="108">
        <f t="shared" si="51"/>
        <v>1.2573808663744861</v>
      </c>
      <c r="N53" s="108">
        <f t="shared" si="51"/>
        <v>1.2303195744272934</v>
      </c>
      <c r="O53" s="108">
        <f t="shared" si="51"/>
        <v>1.210782579579232</v>
      </c>
      <c r="P53" s="108">
        <f t="shared" si="51"/>
        <v>1.1855436998238409</v>
      </c>
      <c r="Q53" s="108">
        <f t="shared" si="51"/>
        <v>1.2070800957355428</v>
      </c>
      <c r="R53" s="108">
        <f t="shared" si="51"/>
        <v>1.160772051498201</v>
      </c>
      <c r="S53" s="108">
        <f t="shared" si="51"/>
        <v>1.1674441478894753</v>
      </c>
      <c r="T53" s="108">
        <f t="shared" si="51"/>
        <v>0.77755073665333707</v>
      </c>
      <c r="U53" s="108">
        <f t="shared" si="51"/>
        <v>0.73020020190858226</v>
      </c>
      <c r="V53" s="108">
        <f t="shared" si="51"/>
        <v>0.84894191891169912</v>
      </c>
      <c r="W53" s="108">
        <f t="shared" si="51"/>
        <v>0.82266011838719633</v>
      </c>
      <c r="X53" s="108">
        <f t="shared" si="51"/>
        <v>0.81125988941418303</v>
      </c>
      <c r="Y53" s="108">
        <f t="shared" si="51"/>
        <v>0.75214319933388207</v>
      </c>
      <c r="Z53" s="108">
        <f t="shared" si="51"/>
        <v>0.98953302727421011</v>
      </c>
      <c r="AA53" s="108">
        <f t="shared" si="51"/>
        <v>0.90727119589996619</v>
      </c>
      <c r="AB53" s="108">
        <f>AB48/AB49</f>
        <v>0.88262754767647256</v>
      </c>
      <c r="AC53" s="108">
        <f t="shared" si="51"/>
        <v>0.80213446759384532</v>
      </c>
      <c r="AD53" s="108">
        <f t="shared" si="51"/>
        <v>0.83957029101907743</v>
      </c>
      <c r="AE53" s="108">
        <f>AE48/AE49</f>
        <v>0.57009835907629536</v>
      </c>
      <c r="AF53" s="108">
        <f>AF48/AF49</f>
        <v>0.53800152497171061</v>
      </c>
      <c r="AG53" s="111">
        <f>AG48/AG49</f>
        <v>0.39312571353347869</v>
      </c>
    </row>
    <row r="54" spans="1:33">
      <c r="A54" s="2" t="s">
        <v>79</v>
      </c>
      <c r="B54" s="45" t="s">
        <v>38</v>
      </c>
      <c r="C54" s="112">
        <f t="shared" ref="C54:H54" si="52">C49+C48</f>
        <v>62285</v>
      </c>
      <c r="D54" s="112">
        <f t="shared" si="52"/>
        <v>95713</v>
      </c>
      <c r="E54" s="112">
        <f t="shared" si="52"/>
        <v>127625.90296471387</v>
      </c>
      <c r="F54" s="112">
        <f t="shared" si="52"/>
        <v>133426.2709312645</v>
      </c>
      <c r="G54" s="112">
        <f t="shared" si="52"/>
        <v>132622.40498726882</v>
      </c>
      <c r="H54" s="112">
        <f t="shared" si="52"/>
        <v>150249.37458995881</v>
      </c>
      <c r="I54" s="112">
        <f>I49+I48</f>
        <v>172853.31838861457</v>
      </c>
      <c r="J54" s="112">
        <f>J49+J48</f>
        <v>183001.71374733924</v>
      </c>
      <c r="K54" s="113">
        <f>K49+K48</f>
        <v>168391.74741055947</v>
      </c>
      <c r="L54" s="114">
        <f>L49+L48</f>
        <v>178198.72361324794</v>
      </c>
      <c r="M54" s="112">
        <f t="shared" ref="M54:AE54" si="53">M49+M48</f>
        <v>121915.04566454679</v>
      </c>
      <c r="N54" s="112">
        <f t="shared" si="53"/>
        <v>127651.93938482273</v>
      </c>
      <c r="O54" s="112">
        <f t="shared" si="53"/>
        <v>129907.33089431355</v>
      </c>
      <c r="P54" s="112">
        <f t="shared" si="53"/>
        <v>134559.03653689739</v>
      </c>
      <c r="Q54" s="112">
        <f t="shared" si="53"/>
        <v>133107.34588344319</v>
      </c>
      <c r="R54" s="112">
        <f t="shared" si="53"/>
        <v>134137.49695852262</v>
      </c>
      <c r="S54" s="112">
        <f t="shared" si="53"/>
        <v>130435.4004741309</v>
      </c>
      <c r="T54" s="112">
        <f t="shared" si="53"/>
        <v>132622.40498726882</v>
      </c>
      <c r="U54" s="112">
        <f t="shared" si="53"/>
        <v>124679.94454551752</v>
      </c>
      <c r="V54" s="112">
        <f t="shared" si="53"/>
        <v>146857.19050558229</v>
      </c>
      <c r="W54" s="112">
        <f t="shared" si="53"/>
        <v>153251.49127134684</v>
      </c>
      <c r="X54" s="112">
        <f t="shared" si="53"/>
        <v>150249.37458995881</v>
      </c>
      <c r="Y54" s="112">
        <f t="shared" si="53"/>
        <v>151198.10835805695</v>
      </c>
      <c r="Z54" s="112">
        <f t="shared" si="53"/>
        <v>177530.87653659919</v>
      </c>
      <c r="AA54" s="112">
        <f t="shared" si="53"/>
        <v>170221.21729990587</v>
      </c>
      <c r="AB54" s="112">
        <f>AB49+AB48</f>
        <v>172853.31838861457</v>
      </c>
      <c r="AC54" s="112">
        <f t="shared" si="53"/>
        <v>168391.74741055947</v>
      </c>
      <c r="AD54" s="112">
        <f t="shared" si="53"/>
        <v>174384.80770709048</v>
      </c>
      <c r="AE54" s="112">
        <f t="shared" si="53"/>
        <v>173708.99853948673</v>
      </c>
      <c r="AF54" s="112">
        <f>AF49+AF48</f>
        <v>183001.71374733924</v>
      </c>
      <c r="AG54" s="115">
        <f t="shared" ref="AG54" si="54">AG49+AG48</f>
        <v>178198.72361324794</v>
      </c>
    </row>
    <row r="55" spans="1:33">
      <c r="A55" s="22"/>
      <c r="B55" s="22"/>
      <c r="C55" s="22"/>
      <c r="D55" s="22"/>
      <c r="E55" s="22"/>
      <c r="F55" s="22"/>
      <c r="G55" s="22"/>
      <c r="H55" s="22"/>
      <c r="I55" s="22"/>
      <c r="J55" s="22"/>
      <c r="K55" s="116"/>
      <c r="L55" s="117"/>
      <c r="M55" s="22"/>
      <c r="N55" s="22"/>
      <c r="O55" s="22"/>
      <c r="P55" s="22"/>
      <c r="Q55" s="22"/>
      <c r="R55" s="22"/>
      <c r="S55" s="22"/>
      <c r="T55" s="22"/>
      <c r="U55" s="22"/>
      <c r="V55" s="22"/>
      <c r="W55" s="22"/>
      <c r="X55" s="22"/>
      <c r="Y55" s="22"/>
      <c r="Z55" s="22"/>
      <c r="AA55" s="22"/>
      <c r="AB55" s="22"/>
      <c r="AC55" s="22"/>
      <c r="AD55" s="22"/>
      <c r="AE55" s="22"/>
      <c r="AF55" s="22"/>
      <c r="AG55" s="118"/>
    </row>
    <row r="56" spans="1:33">
      <c r="B56" s="45"/>
      <c r="I56" s="2"/>
      <c r="J56" s="2"/>
      <c r="K56" s="119"/>
      <c r="L56" s="120"/>
      <c r="V56" s="2"/>
      <c r="W56" s="2"/>
      <c r="X56" s="2"/>
      <c r="Y56" s="2"/>
      <c r="Z56" s="2"/>
      <c r="AG56" s="121"/>
    </row>
    <row r="57" spans="1:33" s="18" customFormat="1" ht="25.5">
      <c r="A57" s="11" t="s">
        <v>80</v>
      </c>
      <c r="B57" s="12"/>
      <c r="C57" s="12"/>
      <c r="D57" s="12"/>
      <c r="E57" s="12"/>
      <c r="F57" s="12"/>
      <c r="G57" s="13"/>
      <c r="H57" s="13"/>
      <c r="I57" s="13"/>
      <c r="J57" s="13"/>
      <c r="K57" s="14"/>
      <c r="L57" s="15"/>
      <c r="M57" s="13"/>
      <c r="N57" s="13"/>
      <c r="O57" s="13"/>
      <c r="P57" s="13"/>
      <c r="Q57" s="13"/>
      <c r="R57" s="13"/>
      <c r="S57" s="13"/>
      <c r="T57" s="13"/>
      <c r="U57" s="13"/>
      <c r="V57" s="13"/>
      <c r="W57" s="13"/>
      <c r="X57" s="13"/>
      <c r="Y57" s="13"/>
      <c r="Z57" s="13"/>
      <c r="AA57" s="13"/>
      <c r="AB57" s="12"/>
      <c r="AC57" s="12"/>
      <c r="AD57" s="12"/>
      <c r="AE57" s="12"/>
      <c r="AF57" s="12"/>
      <c r="AG57" s="17"/>
    </row>
    <row r="58" spans="1:33">
      <c r="A58" s="5" t="s">
        <v>81</v>
      </c>
      <c r="B58" s="45" t="s">
        <v>38</v>
      </c>
      <c r="C58" s="72">
        <f t="shared" ref="C58:H58" si="55">C15</f>
        <v>12598.892037187703</v>
      </c>
      <c r="D58" s="72">
        <f t="shared" si="55"/>
        <v>16893.61615875503</v>
      </c>
      <c r="E58" s="72">
        <f t="shared" si="55"/>
        <v>14341.036854706465</v>
      </c>
      <c r="F58" s="72">
        <f t="shared" si="55"/>
        <v>14683.230933748007</v>
      </c>
      <c r="G58" s="72">
        <f t="shared" si="55"/>
        <v>18458.275642770226</v>
      </c>
      <c r="H58" s="72">
        <f t="shared" si="55"/>
        <v>21957.556401914964</v>
      </c>
      <c r="I58" s="72">
        <f>I15</f>
        <v>27365.670995187207</v>
      </c>
      <c r="J58" s="72">
        <f>J15</f>
        <v>34077.450168589407</v>
      </c>
      <c r="K58" s="73">
        <f>K15</f>
        <v>30243.014795851388</v>
      </c>
      <c r="L58" s="74">
        <f>L15</f>
        <v>36685.809567314718</v>
      </c>
      <c r="M58" s="72">
        <f t="shared" ref="M58:AC58" si="56">M15</f>
        <v>2728.9290302383843</v>
      </c>
      <c r="N58" s="72">
        <f t="shared" si="56"/>
        <v>3973.8986550615773</v>
      </c>
      <c r="O58" s="72">
        <f t="shared" si="56"/>
        <v>3996.4319668739645</v>
      </c>
      <c r="P58" s="72">
        <f t="shared" si="56"/>
        <v>3983.9712815740886</v>
      </c>
      <c r="Q58" s="72">
        <f t="shared" si="56"/>
        <v>4564.7158750190174</v>
      </c>
      <c r="R58" s="72">
        <f t="shared" si="56"/>
        <v>4967.6911947234566</v>
      </c>
      <c r="S58" s="72">
        <f t="shared" si="56"/>
        <v>4351.9445855158519</v>
      </c>
      <c r="T58" s="72">
        <f t="shared" si="56"/>
        <v>4573.923987511891</v>
      </c>
      <c r="U58" s="72">
        <f t="shared" si="56"/>
        <v>4760.9631841459059</v>
      </c>
      <c r="V58" s="72">
        <f t="shared" si="56"/>
        <v>6212.132216600181</v>
      </c>
      <c r="W58" s="72">
        <f t="shared" si="56"/>
        <v>5911.347079164846</v>
      </c>
      <c r="X58" s="72">
        <f t="shared" si="56"/>
        <v>5073.1139220040222</v>
      </c>
      <c r="Y58" s="72">
        <f t="shared" si="56"/>
        <v>4804.096332878582</v>
      </c>
      <c r="Z58" s="72">
        <f t="shared" si="56"/>
        <v>7749.5042689853317</v>
      </c>
      <c r="AA58" s="72">
        <f t="shared" si="56"/>
        <v>7560.9718045045393</v>
      </c>
      <c r="AB58" s="72">
        <f t="shared" si="56"/>
        <v>7251.0985888187515</v>
      </c>
      <c r="AC58" s="72">
        <f t="shared" si="56"/>
        <v>7681.4401338957323</v>
      </c>
      <c r="AD58" s="72">
        <f>AD15</f>
        <v>8188.6900193756355</v>
      </c>
      <c r="AE58" s="72">
        <f>AE15</f>
        <v>9771.9235752647492</v>
      </c>
      <c r="AF58" s="72">
        <f>J58-AC58-AD58-AE58</f>
        <v>8435.3964400532877</v>
      </c>
      <c r="AG58" s="76">
        <f>AG15</f>
        <v>10289.799532620993</v>
      </c>
    </row>
    <row r="59" spans="1:33">
      <c r="A59" s="2" t="s">
        <v>82</v>
      </c>
      <c r="B59" s="45" t="s">
        <v>38</v>
      </c>
      <c r="C59" s="72">
        <f t="shared" ref="C59:AC59" si="57">C60-C58</f>
        <v>-1746.5727035283962</v>
      </c>
      <c r="D59" s="72">
        <f t="shared" si="57"/>
        <v>-7306.2241587550307</v>
      </c>
      <c r="E59" s="72">
        <f t="shared" si="57"/>
        <v>1802.9735562142268</v>
      </c>
      <c r="F59" s="72">
        <f t="shared" si="57"/>
        <v>-3722.3051134634479</v>
      </c>
      <c r="G59" s="72">
        <f t="shared" si="57"/>
        <v>4222.3131553131861</v>
      </c>
      <c r="H59" s="72">
        <f t="shared" si="57"/>
        <v>3482.3132038592448</v>
      </c>
      <c r="I59" s="72">
        <f t="shared" si="57"/>
        <v>-1156.6629883558271</v>
      </c>
      <c r="J59" s="72">
        <f t="shared" si="57"/>
        <v>-2923.2742528733215</v>
      </c>
      <c r="K59" s="73">
        <f t="shared" si="57"/>
        <v>-1147.2663921407329</v>
      </c>
      <c r="L59" s="74">
        <f t="shared" si="57"/>
        <v>-5608.1638482746384</v>
      </c>
      <c r="M59" s="72">
        <f t="shared" si="57"/>
        <v>-549.08723442824976</v>
      </c>
      <c r="N59" s="72">
        <f t="shared" si="57"/>
        <v>460.45863944698795</v>
      </c>
      <c r="O59" s="72">
        <f t="shared" si="57"/>
        <v>-1757.5119097997012</v>
      </c>
      <c r="P59" s="72">
        <f t="shared" si="57"/>
        <v>-1876.1646086824921</v>
      </c>
      <c r="Q59" s="72">
        <f t="shared" si="57"/>
        <v>200.88460567605125</v>
      </c>
      <c r="R59" s="72">
        <f t="shared" si="57"/>
        <v>3365.8111933006494</v>
      </c>
      <c r="S59" s="72">
        <f t="shared" si="57"/>
        <v>1990.308261262443</v>
      </c>
      <c r="T59" s="72">
        <f t="shared" si="57"/>
        <v>-1334.6909049259475</v>
      </c>
      <c r="U59" s="72">
        <f t="shared" si="57"/>
        <v>4275.5464559565326</v>
      </c>
      <c r="V59" s="72">
        <f t="shared" si="57"/>
        <v>285.12841124454371</v>
      </c>
      <c r="W59" s="72">
        <f t="shared" si="57"/>
        <v>-3075.447030004284</v>
      </c>
      <c r="X59" s="72">
        <f t="shared" si="57"/>
        <v>1997.0853666624625</v>
      </c>
      <c r="Y59" s="72">
        <f t="shared" si="57"/>
        <v>231.46365691036863</v>
      </c>
      <c r="Z59" s="72">
        <f t="shared" si="57"/>
        <v>-3542.7240907578098</v>
      </c>
      <c r="AA59" s="72">
        <f t="shared" si="57"/>
        <v>2945.4109894515805</v>
      </c>
      <c r="AB59" s="72">
        <f>AB60-AB58</f>
        <v>-790.81354395996277</v>
      </c>
      <c r="AC59" s="72">
        <f t="shared" si="57"/>
        <v>240.85871289695569</v>
      </c>
      <c r="AD59" s="72">
        <f>AD60-AD58</f>
        <v>664.38047176206783</v>
      </c>
      <c r="AE59" s="72">
        <f>AE60-AE58</f>
        <v>-3797.3694811289215</v>
      </c>
      <c r="AF59" s="72">
        <f>J59-AC59-AD59-AE59</f>
        <v>-31.143956403423545</v>
      </c>
      <c r="AG59" s="76">
        <f>AG60-AG58</f>
        <v>-2444.030882504303</v>
      </c>
    </row>
    <row r="60" spans="1:33">
      <c r="A60" s="5" t="s">
        <v>83</v>
      </c>
      <c r="B60" s="45" t="s">
        <v>38</v>
      </c>
      <c r="C60" s="105">
        <f>'[1]Historical Financials in USD'!C60*'[1]Historical Financials in USD'!$C$8</f>
        <v>10852.319333659307</v>
      </c>
      <c r="D60" s="105">
        <v>9587.3919999999998</v>
      </c>
      <c r="E60" s="105">
        <v>16144.010410920691</v>
      </c>
      <c r="F60" s="105">
        <v>10960.925820284559</v>
      </c>
      <c r="G60" s="105">
        <v>22680.588798083412</v>
      </c>
      <c r="H60" s="105">
        <f>'[17]MD&amp;A'!$B$7-H66</f>
        <v>25439.869605774209</v>
      </c>
      <c r="I60" s="105">
        <f>'[18]MD&amp;A (4Q16) '!$E$74</f>
        <v>26209.00800683138</v>
      </c>
      <c r="J60" s="105">
        <f>'[19]MD&amp;A(4Q17)'!$E$74</f>
        <v>31154.175915716085</v>
      </c>
      <c r="K60" s="106">
        <f>'[20]MD&amp;A(1Q18) '!$F$74</f>
        <v>29095.748403710655</v>
      </c>
      <c r="L60" s="63">
        <f>'[20]MD&amp;A(1Q18) '!$E$74</f>
        <v>31077.64571904008</v>
      </c>
      <c r="M60" s="105">
        <v>2179.8417958101345</v>
      </c>
      <c r="N60" s="105">
        <v>4434.3572945085652</v>
      </c>
      <c r="O60" s="105">
        <v>2238.9200570742632</v>
      </c>
      <c r="P60" s="105">
        <f>F60-O60-N60-M60</f>
        <v>2107.8066728915965</v>
      </c>
      <c r="Q60" s="105">
        <f>'[21]MD&amp;A'!$C$7-Q66</f>
        <v>4765.6004806950687</v>
      </c>
      <c r="R60" s="105">
        <f>'[22]MD&amp;A'!$C$7-Q60-Q66-R66</f>
        <v>8333.502388024106</v>
      </c>
      <c r="S60" s="105">
        <v>6342.252846778295</v>
      </c>
      <c r="T60" s="105">
        <f>G60-S60-R60-Q60</f>
        <v>3239.2330825859435</v>
      </c>
      <c r="U60" s="105">
        <f>'[23]MD&amp;A'!$D$25-U66</f>
        <v>9036.5096401024384</v>
      </c>
      <c r="V60" s="105">
        <f>'[24]MD&amp;A (2Q16)'!$I$25-V66</f>
        <v>6497.2606278447247</v>
      </c>
      <c r="W60" s="105">
        <f>'[25]MD&amp;A (3Q16) '!$D$26-W66</f>
        <v>2835.900049160562</v>
      </c>
      <c r="X60" s="105">
        <f>H60-W60-V60-U60</f>
        <v>7070.1992886664848</v>
      </c>
      <c r="Y60" s="105">
        <f>'[26]MD&amp;A'!$B$25-Y66</f>
        <v>5035.5599897889506</v>
      </c>
      <c r="Z60" s="105">
        <f>'[24]MD&amp;A (2Q16)'!$B$25-Z66</f>
        <v>4206.7801782275219</v>
      </c>
      <c r="AA60" s="105">
        <f>'[25]MD&amp;A (3Q16) '!$B$26-AA66</f>
        <v>10506.38279395612</v>
      </c>
      <c r="AB60" s="105">
        <f>I60-Y60-Z60-AA60</f>
        <v>6460.2850448587888</v>
      </c>
      <c r="AC60" s="105">
        <f>'[27]MD&amp;A (1Q17) '!$B$74</f>
        <v>7922.298846792688</v>
      </c>
      <c r="AD60" s="105">
        <f>'[28]MD&amp;A (2Q17) '!$B$74</f>
        <v>8853.0704911377034</v>
      </c>
      <c r="AE60" s="105">
        <f>'[29]MD&amp;A (3Q17)  '!$B$74</f>
        <v>5974.5540941358277</v>
      </c>
      <c r="AF60" s="105">
        <f>J60-AC60-AD60-AE60</f>
        <v>8404.2524836498669</v>
      </c>
      <c r="AG60" s="64">
        <f>'[20]MD&amp;A(1Q18) '!$B$74</f>
        <v>7845.76865011669</v>
      </c>
    </row>
    <row r="61" spans="1:33">
      <c r="A61" s="2" t="s">
        <v>84</v>
      </c>
      <c r="B61" s="45" t="s">
        <v>38</v>
      </c>
      <c r="C61" s="72">
        <f>('[1]Historical Financials in USD'!C61+'[1]Historical Financials in USD'!C62)*'[1]Historical Financials in USD'!$C$8-C62</f>
        <v>-5625.1484000000009</v>
      </c>
      <c r="D61" s="72">
        <f>('[1]Historical Financials in USD'!D61+'[1]Historical Financials in USD'!D62)*'[1]Historical Financials in USD'!$D$8-D62</f>
        <v>-19827.48404664894</v>
      </c>
      <c r="E61" s="72">
        <v>-38044.319247453226</v>
      </c>
      <c r="F61" s="72">
        <v>-5581.248733562441</v>
      </c>
      <c r="G61" s="72">
        <v>-7872.6894930135331</v>
      </c>
      <c r="H61" s="72">
        <f>('[17]MD&amp;A'!$B$10+'[17]MD&amp;A'!$B$11)-H62</f>
        <v>-24089.868669044816</v>
      </c>
      <c r="I61" s="72">
        <f>'[18]MD&amp;A (4Q16) '!$E$75</f>
        <v>-26391.267340060156</v>
      </c>
      <c r="J61" s="72">
        <f>'[19]MD&amp;A(4Q17)'!$E$75</f>
        <v>-24447.269108532979</v>
      </c>
      <c r="K61" s="73">
        <f>'[20]MD&amp;A(1Q18) '!$F$75</f>
        <v>-17160.19745020588</v>
      </c>
      <c r="L61" s="74">
        <f>'[20]MD&amp;A(1Q18) '!$E$75</f>
        <v>-24116.601792994858</v>
      </c>
      <c r="M61" s="72">
        <v>-1512.8920430350181</v>
      </c>
      <c r="N61" s="72">
        <f>(-([14]Financials!$W$165+[14]Financials!$X$165)*'[14]Conso THB'!$CG$1-M61)-N62</f>
        <v>-1991.791875154463</v>
      </c>
      <c r="O61" s="72">
        <f>-([14]Financials!$W$165+[14]Financials!$X$165+[14]Financials!$Y$165)*'[14]Conso THB'!$BU$1-N61-M61-O62-N62</f>
        <v>-985.24004592059146</v>
      </c>
      <c r="P61" s="72">
        <f>(-([14]Financials!$W$165+[14]Financials!$X$165+[14]Financials!$Y$165+[14]Financials!$Z$165)*'[14]Conso THB'!$BL$1-O61-N61-M61)-P62-N62</f>
        <v>-1091.3247694523702</v>
      </c>
      <c r="Q61" s="72">
        <f>'[21]MD&amp;A'!$C$10-Q62</f>
        <v>-1756.7654058881856</v>
      </c>
      <c r="R61" s="72">
        <f>'[22]MD&amp;A'!$C$10-Q61-R62</f>
        <v>-1264.9668204667364</v>
      </c>
      <c r="S61" s="72">
        <f>'[30]MD&amp;A'!$C$10-R61-Q61-S62-R62</f>
        <v>-2558.7546876587217</v>
      </c>
      <c r="T61" s="72">
        <f>(G61+G62-S61-R61-Q61)-T62-R62</f>
        <v>-2292.2025789998893</v>
      </c>
      <c r="U61" s="72">
        <f>'[26]MD&amp;A'!$D$30-U62</f>
        <v>-2987.3820540580596</v>
      </c>
      <c r="V61" s="72">
        <f>'[24]MD&amp;A (2Q16)'!$I$30-V62</f>
        <v>-12576.755837949477</v>
      </c>
      <c r="W61" s="72">
        <f>'[17]MD&amp;A'!$C$50-W62</f>
        <v>-4218.4502666182725</v>
      </c>
      <c r="X61" s="72">
        <f>'[17]MD&amp;A'!$B$50-X62</f>
        <v>-4307.2975104190018</v>
      </c>
      <c r="Y61" s="72">
        <f>'[26]MD&amp;A'!$B$30-Y62</f>
        <v>-13310.113472024826</v>
      </c>
      <c r="Z61" s="72">
        <f>'[24]MD&amp;A (2Q16)'!$B$30-Z62</f>
        <v>-5941.3750050205499</v>
      </c>
      <c r="AA61" s="72">
        <f>'[25]MD&amp;A (3Q16) '!$B$31-AA62</f>
        <v>-3595.9461225640757</v>
      </c>
      <c r="AB61" s="72">
        <f>'[18]MD&amp;A (4Q16) '!$B$75</f>
        <v>-3543.8332331121064</v>
      </c>
      <c r="AC61" s="72">
        <f>'[27]MD&amp;A (1Q17) '!$B$75</f>
        <v>-4079.0435821705491</v>
      </c>
      <c r="AD61" s="72">
        <f>'[28]MD&amp;A (2Q17) '!$B$75</f>
        <v>-10346.375907517868</v>
      </c>
      <c r="AE61" s="72">
        <f>'[29]MD&amp;A (3Q17)  '!$B$75</f>
        <v>-4239.7058018406515</v>
      </c>
      <c r="AF61" s="72">
        <f t="shared" ref="AF61:AF71" si="58">J61-AC61-AD61-AE61</f>
        <v>-5782.1438170039091</v>
      </c>
      <c r="AG61" s="76">
        <f>'[20]MD&amp;A(1Q18) '!$B$75</f>
        <v>-3748.3762666324274</v>
      </c>
    </row>
    <row r="62" spans="1:33">
      <c r="A62" s="2" t="s">
        <v>85</v>
      </c>
      <c r="B62" s="45" t="s">
        <v>38</v>
      </c>
      <c r="C62" s="72">
        <f>-SUM('[25]NWC on acq THB'!$AB$31:$AE$31)</f>
        <v>-379.02099999999996</v>
      </c>
      <c r="D62" s="72">
        <f>-SUM('[25]NWC on acq THB'!$X$31:$AA$31)</f>
        <v>-10239.47025</v>
      </c>
      <c r="E62" s="72">
        <f>-SUM('[25]NWC on acq THB'!$T$31:$W$31)</f>
        <v>-2810.5786800000001</v>
      </c>
      <c r="F62" s="72">
        <f>-SUM('[25]NWC on acq THB'!$P$31:$S$31)</f>
        <v>-76.712000000000003</v>
      </c>
      <c r="G62" s="72">
        <f>-SUM('[25]NWC on acq THB'!$L$31:$O$31)</f>
        <v>-3840.8357991790895</v>
      </c>
      <c r="H62" s="72">
        <f>-SUM('[25]NWC on acq THB'!$H$31:$K$31)</f>
        <v>-5777.8421044931038</v>
      </c>
      <c r="I62" s="72">
        <f>'[18]MD&amp;A (4Q16) '!$E$76</f>
        <v>-7911.205468972601</v>
      </c>
      <c r="J62" s="72">
        <f>'[19]MD&amp;A(4Q17)'!$E$76</f>
        <v>-1762.3790755117247</v>
      </c>
      <c r="K62" s="73">
        <f>'[20]MD&amp;A(1Q18) '!$F$76</f>
        <v>-3414.1231399750013</v>
      </c>
      <c r="L62" s="74">
        <f>'[20]MD&amp;A(1Q18) '!$E$33</f>
        <v>-1762.3790755117247</v>
      </c>
      <c r="M62" s="56">
        <f>-'[25]NWC on acq THB'!$S$31</f>
        <v>0</v>
      </c>
      <c r="N62" s="72">
        <f>-'[25]NWC on acq THB'!$R$31</f>
        <v>-76.712000000000003</v>
      </c>
      <c r="O62" s="107">
        <f>-'[25]NWC on acq THB'!$Q$31</f>
        <v>0</v>
      </c>
      <c r="P62" s="107">
        <f>-'[25]NWC on acq THB'!$P$31</f>
        <v>0</v>
      </c>
      <c r="Q62" s="107">
        <f>-'[25]NWC on acq THB'!$O$31</f>
        <v>0</v>
      </c>
      <c r="R62" s="72">
        <f>-'[25]NWC on acq THB'!$N$31</f>
        <v>-3840.8357991790895</v>
      </c>
      <c r="S62" s="107">
        <f>-'[25]NWC on acq THB'!$M$31</f>
        <v>0</v>
      </c>
      <c r="T62" s="107">
        <f>-'[25]NWC on acq THB'!$L$31</f>
        <v>0</v>
      </c>
      <c r="U62" s="72">
        <f>-'[25]NWC on acq THB'!$K$31</f>
        <v>-14.299623337371051</v>
      </c>
      <c r="V62" s="72">
        <f>-'[25]NWC on acq THB'!$J$31</f>
        <v>-5414.962426666687</v>
      </c>
      <c r="W62" s="72">
        <f>-'[25]NWC on acq THB'!$I$31</f>
        <v>0</v>
      </c>
      <c r="X62" s="72">
        <f>-'[25]NWC on acq THB'!$H$31</f>
        <v>-348.58005448904498</v>
      </c>
      <c r="Y62" s="72">
        <f>-'[25]NWC on acq THB'!$G$31</f>
        <v>-4497.0823289975997</v>
      </c>
      <c r="Z62" s="72">
        <f>-'[25]NWC on acq THB'!$F$31</f>
        <v>-3917.1365836150007</v>
      </c>
      <c r="AA62" s="72">
        <f>-'[25]NWC on acq THB'!$E$31</f>
        <v>494.30946505000003</v>
      </c>
      <c r="AB62" s="72">
        <f>'[18]MD&amp;A (4Q16) '!$B$76</f>
        <v>8.703978589999906</v>
      </c>
      <c r="AC62" s="72">
        <f>'[27]MD&amp;A (1Q17) '!$B$76</f>
        <v>0</v>
      </c>
      <c r="AD62" s="72">
        <f>'[28]MD&amp;A (2Q17) '!$B$76</f>
        <v>-1013.4325156803286</v>
      </c>
      <c r="AE62" s="72">
        <f>'[29]MD&amp;A (3Q17)  '!$B$76</f>
        <v>-394.47622754841609</v>
      </c>
      <c r="AF62" s="72">
        <f t="shared" si="58"/>
        <v>-354.47033228298005</v>
      </c>
      <c r="AG62" s="76">
        <f>'[20]MD&amp;A(1Q18) '!$B$76</f>
        <v>0</v>
      </c>
    </row>
    <row r="63" spans="1:33">
      <c r="A63" s="2" t="s">
        <v>86</v>
      </c>
      <c r="B63" s="45" t="s">
        <v>38</v>
      </c>
      <c r="C63" s="72">
        <f>'[1]Historical Financials in USD'!C63*'[1]Historical Financials in USD'!$C$8</f>
        <v>-915.52566402951436</v>
      </c>
      <c r="D63" s="72">
        <f>'[1]Historical Financials in USD'!E63*'[1]Historical Financials in USD'!$E$8</f>
        <v>-1285.1895806422469</v>
      </c>
      <c r="E63" s="72">
        <v>-1328.5225587632294</v>
      </c>
      <c r="F63" s="72">
        <v>-1312.6409257636308</v>
      </c>
      <c r="G63" s="72">
        <v>-2011.9977811110657</v>
      </c>
      <c r="H63" s="72">
        <f>'[17]MD&amp;A'!$B$12</f>
        <v>-1869.5559657444485</v>
      </c>
      <c r="I63" s="72">
        <f>'[18]MD&amp;A (4Q16) '!$E$77</f>
        <v>-2814.8215788079315</v>
      </c>
      <c r="J63" s="72">
        <f>'[19]MD&amp;A(4Q17)'!$E$77</f>
        <v>-3414.75620202153</v>
      </c>
      <c r="K63" s="73">
        <f>'[20]MD&amp;A(1Q18) '!$F$34</f>
        <v>-3023.8824524484148</v>
      </c>
      <c r="L63" s="74">
        <f>'[20]MD&amp;A(1Q18) '!$E$34</f>
        <v>-3276.2638927726889</v>
      </c>
      <c r="M63" s="72">
        <v>-240.99041482064737</v>
      </c>
      <c r="N63" s="72">
        <f>-([14]Financials!$W$166+[14]Financials!$X$166)*'[14]Conso THB'!$CG$1-M63</f>
        <v>-343.14687286110734</v>
      </c>
      <c r="O63" s="72">
        <f>-([14]Financials!$W$166+[14]Financials!$X$166+[14]Financials!$Y$166)*'[14]Conso THB'!$BU$1-N63-M63</f>
        <v>-421.49351259789114</v>
      </c>
      <c r="P63" s="72">
        <f>-([14]Financials!$W$166+[14]Financials!$X$166+[14]Financials!$Y$166+[14]Financials!$Z$166)*'[14]Conso THB'!$BL$1-O63-N63-M63</f>
        <v>-307.01012548398535</v>
      </c>
      <c r="Q63" s="72">
        <f>'[21]MD&amp;A'!$C$11</f>
        <v>-286.34781533024716</v>
      </c>
      <c r="R63" s="72">
        <f>'[22]MD&amp;A'!$C$11-Q63</f>
        <v>-411.30393167905538</v>
      </c>
      <c r="S63" s="72">
        <v>-385.69392227391461</v>
      </c>
      <c r="T63" s="72">
        <f>G63-S63-R63-Q63</f>
        <v>-928.65211182784833</v>
      </c>
      <c r="U63" s="72">
        <f>'[21]MD&amp;A'!$B$11</f>
        <v>-378.00171748960531</v>
      </c>
      <c r="V63" s="72">
        <f>'[22]MD&amp;A'!$B$11-U63</f>
        <v>-349.22728782602314</v>
      </c>
      <c r="W63" s="72">
        <f>'[17]MD&amp;A'!$C$51</f>
        <v>-518.5865058029483</v>
      </c>
      <c r="X63" s="72">
        <f>'[17]MD&amp;A'!$B$51</f>
        <v>-623.74045462587173</v>
      </c>
      <c r="Y63" s="72">
        <f>'[26]MD&amp;A'!$B$31</f>
        <v>-633.78241924375004</v>
      </c>
      <c r="Z63" s="72">
        <f>'[24]MD&amp;A (2Q16)'!$B$31</f>
        <v>-611.17129147923163</v>
      </c>
      <c r="AA63" s="72">
        <f>'[25]MD&amp;A (3Q16) '!$B$32</f>
        <v>-662.33559032559333</v>
      </c>
      <c r="AB63" s="72">
        <f>'[18]MD&amp;A (4Q16) '!$B$77</f>
        <v>-907.53227775935648</v>
      </c>
      <c r="AC63" s="72">
        <f>'[27]MD&amp;A (1Q17) '!$B$77</f>
        <v>-842.84329288423362</v>
      </c>
      <c r="AD63" s="72">
        <f>'[28]MD&amp;A (2Q17) '!$B$77</f>
        <v>-754.9656341566407</v>
      </c>
      <c r="AE63" s="72">
        <f>'[29]MD&amp;A (3Q17)  '!$B$77</f>
        <v>-837.60403656976848</v>
      </c>
      <c r="AF63" s="72">
        <f t="shared" si="58"/>
        <v>-979.34323841088747</v>
      </c>
      <c r="AG63" s="76">
        <f>'[20]MD&amp;A(1Q18) '!$B$77</f>
        <v>-704.35098363539271</v>
      </c>
    </row>
    <row r="64" spans="1:33">
      <c r="A64" s="5" t="s">
        <v>87</v>
      </c>
      <c r="B64" s="45" t="s">
        <v>38</v>
      </c>
      <c r="C64" s="105">
        <f t="shared" ref="C64:AB64" si="59">C60+C61+C62+C63</f>
        <v>3932.6242696297918</v>
      </c>
      <c r="D64" s="105">
        <f t="shared" si="59"/>
        <v>-21764.751877291186</v>
      </c>
      <c r="E64" s="105">
        <f t="shared" si="59"/>
        <v>-26039.410075295764</v>
      </c>
      <c r="F64" s="105">
        <f t="shared" si="59"/>
        <v>3990.3241609584875</v>
      </c>
      <c r="G64" s="105">
        <f t="shared" si="59"/>
        <v>8955.0657247797244</v>
      </c>
      <c r="H64" s="105">
        <f t="shared" si="59"/>
        <v>-6297.3971335081587</v>
      </c>
      <c r="I64" s="105">
        <f>I60+I61+I62+I63</f>
        <v>-10908.286381009308</v>
      </c>
      <c r="J64" s="105">
        <f>J60+J61+J62+J63</f>
        <v>1529.7715296498518</v>
      </c>
      <c r="K64" s="106">
        <f>K60+K61+K62+K63</f>
        <v>5497.5453610813584</v>
      </c>
      <c r="L64" s="63">
        <f>L60+L61+L62+L63</f>
        <v>1922.400957760809</v>
      </c>
      <c r="M64" s="105">
        <f t="shared" si="59"/>
        <v>425.95933795446899</v>
      </c>
      <c r="N64" s="105">
        <f t="shared" si="59"/>
        <v>2022.7065464929949</v>
      </c>
      <c r="O64" s="105">
        <f t="shared" si="59"/>
        <v>832.18649855578064</v>
      </c>
      <c r="P64" s="105">
        <f t="shared" si="59"/>
        <v>709.4717779552409</v>
      </c>
      <c r="Q64" s="105">
        <f t="shared" si="59"/>
        <v>2722.4872594766362</v>
      </c>
      <c r="R64" s="105">
        <f t="shared" si="59"/>
        <v>2816.3958366992251</v>
      </c>
      <c r="S64" s="105">
        <f t="shared" si="59"/>
        <v>3397.8042368456586</v>
      </c>
      <c r="T64" s="105">
        <f t="shared" si="59"/>
        <v>18.378391758205908</v>
      </c>
      <c r="U64" s="105">
        <f t="shared" si="59"/>
        <v>5656.8262452174013</v>
      </c>
      <c r="V64" s="105">
        <f t="shared" si="59"/>
        <v>-11843.684924597463</v>
      </c>
      <c r="W64" s="105">
        <f t="shared" si="59"/>
        <v>-1901.1367232606588</v>
      </c>
      <c r="X64" s="105">
        <f t="shared" si="59"/>
        <v>1790.5812691325664</v>
      </c>
      <c r="Y64" s="105">
        <f t="shared" si="59"/>
        <v>-13405.418230477224</v>
      </c>
      <c r="Z64" s="105">
        <f t="shared" si="59"/>
        <v>-6262.9027018872603</v>
      </c>
      <c r="AA64" s="105">
        <f t="shared" si="59"/>
        <v>6742.4105461164509</v>
      </c>
      <c r="AB64" s="105">
        <f t="shared" si="59"/>
        <v>2017.6235125773255</v>
      </c>
      <c r="AC64" s="105">
        <f>AC60+AC61+AC62+AC63</f>
        <v>3000.4119717379053</v>
      </c>
      <c r="AD64" s="105">
        <f>AD60+AD61+AD62+AD63</f>
        <v>-3261.7035662171338</v>
      </c>
      <c r="AE64" s="105">
        <f>AE60+AE61+AE62+AE63</f>
        <v>502.76802817699161</v>
      </c>
      <c r="AF64" s="105">
        <f t="shared" si="58"/>
        <v>1288.2950959520886</v>
      </c>
      <c r="AG64" s="64">
        <f>AG60+AG61+AG62+AG63</f>
        <v>3393.0413998488698</v>
      </c>
    </row>
    <row r="65" spans="1:33">
      <c r="A65" s="2" t="s">
        <v>88</v>
      </c>
      <c r="B65" s="45" t="s">
        <v>38</v>
      </c>
      <c r="C65" s="72">
        <f>'[1]Historical Financials in USD'!C65*'[1]Historical Financials in USD'!$C$8</f>
        <v>-1267.5654241656041</v>
      </c>
      <c r="D65" s="72">
        <v>-1867.6669999999999</v>
      </c>
      <c r="E65" s="72">
        <v>-3025.188065404192</v>
      </c>
      <c r="F65" s="72">
        <v>-3922.039354982338</v>
      </c>
      <c r="G65" s="72">
        <v>-3478.1142361539573</v>
      </c>
      <c r="H65" s="72">
        <f>'[17]MD&amp;A'!$B$13</f>
        <v>-3544.1576970618721</v>
      </c>
      <c r="I65" s="72">
        <f>'[18]MD&amp;A (4Q16) '!$E$79</f>
        <v>-4431.0961299719165</v>
      </c>
      <c r="J65" s="72">
        <f>'[19]MD&amp;A(4Q17)'!$E$79</f>
        <v>-4336.1131699571943</v>
      </c>
      <c r="K65" s="73">
        <f>'[20]MD&amp;A(1Q18) '!$F$35</f>
        <v>-4472.6932582799236</v>
      </c>
      <c r="L65" s="74">
        <f>'[20]MD&amp;A(1Q18) '!$E$35</f>
        <v>-4304.7953296036549</v>
      </c>
      <c r="M65" s="72">
        <v>-517.76072306822152</v>
      </c>
      <c r="N65" s="72">
        <v>-1210.611889078335</v>
      </c>
      <c r="O65" s="72">
        <v>-643.33709243461271</v>
      </c>
      <c r="P65" s="72">
        <f>F65-O65-N65-M65</f>
        <v>-1550.3296504011687</v>
      </c>
      <c r="Q65" s="72">
        <f>'[21]MD&amp;A'!$C$12</f>
        <v>-585.90263397488707</v>
      </c>
      <c r="R65" s="72">
        <f>'[22]MD&amp;A'!$C$12-Q65</f>
        <v>-1171.2435128093357</v>
      </c>
      <c r="S65" s="72">
        <v>-609.43632401439345</v>
      </c>
      <c r="T65" s="72">
        <f>G65-S65-R65-Q65</f>
        <v>-1111.5317653553411</v>
      </c>
      <c r="U65" s="72">
        <f>'[21]MD&amp;A'!$B$12</f>
        <v>-473.46302911220334</v>
      </c>
      <c r="V65" s="72">
        <f>'[22]MD&amp;A'!$B$12-U65</f>
        <v>-1161.6213194884926</v>
      </c>
      <c r="W65" s="72">
        <f>'[25]MD&amp;A (3Q16) '!$D$33</f>
        <v>-685.18522365633999</v>
      </c>
      <c r="X65" s="72">
        <f>'[17]MD&amp;A'!$B$52</f>
        <v>-1223.8553064333341</v>
      </c>
      <c r="Y65" s="72">
        <f>'[26]MD&amp;A'!$B$32</f>
        <v>-705.04478442279299</v>
      </c>
      <c r="Z65" s="72">
        <f>'[24]MD&amp;A (2Q16)'!$B$32</f>
        <v>-1437.3941748067132</v>
      </c>
      <c r="AA65" s="72">
        <f>'[25]MD&amp;A (3Q16) '!$B$33</f>
        <v>-887.77675520896435</v>
      </c>
      <c r="AB65" s="72">
        <f t="shared" ref="AB65:AB69" si="60">I65-Y65-Z65-AA65</f>
        <v>-1400.880415533446</v>
      </c>
      <c r="AC65" s="72">
        <f>'[27]MD&amp;A (1Q17) '!$B$79</f>
        <v>-746.64191273080041</v>
      </c>
      <c r="AD65" s="72">
        <f>'[28]MD&amp;A (2Q17) '!$B$79</f>
        <v>-1465.2380991933705</v>
      </c>
      <c r="AE65" s="72">
        <f>'[29]MD&amp;A (3Q17)  '!$B$79</f>
        <v>-742.42149259471034</v>
      </c>
      <c r="AF65" s="72">
        <f t="shared" si="58"/>
        <v>-1381.811665438313</v>
      </c>
      <c r="AG65" s="76">
        <f>'[20]MD&amp;A(1Q18) '!$B$79</f>
        <v>-715.32407237726125</v>
      </c>
    </row>
    <row r="66" spans="1:33">
      <c r="A66" s="2" t="s">
        <v>89</v>
      </c>
      <c r="B66" s="45" t="s">
        <v>38</v>
      </c>
      <c r="C66" s="72">
        <f>'[1]Historical Financials in USD'!C66*'[1]Historical Financials in USD'!$C$8</f>
        <v>-468.90779157728701</v>
      </c>
      <c r="D66" s="72">
        <v>-192.43799999999999</v>
      </c>
      <c r="E66" s="72">
        <v>-640.56277060567425</v>
      </c>
      <c r="F66" s="72">
        <v>-496.53989626196966</v>
      </c>
      <c r="G66" s="72">
        <v>-259.10609644277514</v>
      </c>
      <c r="H66" s="72">
        <f>'[25]CFF 3Q16'!$T$45/1000</f>
        <v>-633.76990956883037</v>
      </c>
      <c r="I66" s="72">
        <f>'[18]MD&amp;A (4Q16) '!$E$80</f>
        <v>-1262.8351817456632</v>
      </c>
      <c r="J66" s="72">
        <f>'[19]MD&amp;A(4Q17)'!$E$80</f>
        <v>-2247.3664181435138</v>
      </c>
      <c r="K66" s="73">
        <f>'[20]MD&amp;A(1Q18) '!$F$24</f>
        <v>-1387.3146413641477</v>
      </c>
      <c r="L66" s="74">
        <f>'[20]MD&amp;A(1Q18) '!$E$24</f>
        <v>-2305.2970151575605</v>
      </c>
      <c r="M66" s="72">
        <v>-288.72973506081178</v>
      </c>
      <c r="N66" s="72">
        <v>-155.19410527729235</v>
      </c>
      <c r="O66" s="72">
        <v>-4.9349943725974299</v>
      </c>
      <c r="P66" s="72">
        <f>F66-O66-N66-M66</f>
        <v>-47.681061551268101</v>
      </c>
      <c r="Q66" s="72">
        <f>'[21]MD&amp;A'!$C$5</f>
        <v>-14.420984203093237</v>
      </c>
      <c r="R66" s="72">
        <f>'[22]MD&amp;A'!$C$5-Q66</f>
        <v>-146.00729903693664</v>
      </c>
      <c r="S66" s="72">
        <v>-190.12187882717438</v>
      </c>
      <c r="T66" s="72">
        <f>G66-S66-R66-Q66</f>
        <v>91.444065624429129</v>
      </c>
      <c r="U66" s="72">
        <f>'[26]MD&amp;A'!$D$23</f>
        <v>-24.563276843921713</v>
      </c>
      <c r="V66" s="72">
        <f>'[22]MD&amp;A'!$B$5-U66</f>
        <v>-226.46499110324231</v>
      </c>
      <c r="W66" s="72">
        <f>'[17]MD&amp;A'!$C43</f>
        <v>-114.3460468248104</v>
      </c>
      <c r="X66" s="72">
        <f>('[25]CFF 3Q16'!$T$45-'[25]CFF 3Q16'!$S$45)/1000</f>
        <v>-268.39559479685602</v>
      </c>
      <c r="Y66" s="72">
        <f>'[26]MD&amp;A'!$B$23</f>
        <v>-70.789449913412511</v>
      </c>
      <c r="Z66" s="72">
        <f>'[24]MD&amp;A (2Q16)'!$B$23</f>
        <v>-497.29993859764818</v>
      </c>
      <c r="AA66" s="72">
        <f>'[25]MD&amp;A (3Q16) '!$B$24</f>
        <v>-79.971589549935345</v>
      </c>
      <c r="AB66" s="72">
        <f t="shared" si="60"/>
        <v>-614.77420368466733</v>
      </c>
      <c r="AC66" s="72">
        <f>'[27]MD&amp;A (1Q17) '!$B$80</f>
        <v>-195.26890953189684</v>
      </c>
      <c r="AD66" s="72">
        <f>'[28]MD&amp;A (2Q17) '!$B$80</f>
        <v>-615.42427960139798</v>
      </c>
      <c r="AE66" s="72">
        <f>'[29]MD&amp;A (3Q17)  '!$B$80</f>
        <v>-367.68706568759967</v>
      </c>
      <c r="AF66" s="72">
        <f t="shared" si="58"/>
        <v>-1068.9861633226192</v>
      </c>
      <c r="AG66" s="76">
        <f>'[20]MD&amp;A(1Q18) '!$B$80</f>
        <v>-253.19950654594393</v>
      </c>
    </row>
    <row r="67" spans="1:33">
      <c r="A67" s="2" t="s">
        <v>90</v>
      </c>
      <c r="B67" s="45" t="s">
        <v>38</v>
      </c>
      <c r="C67" s="72">
        <f>'[1]Historical Financials in USD'!C67*'[1]Historical Financials in USD'!$C$8</f>
        <v>-1415.965953318833</v>
      </c>
      <c r="D67" s="72">
        <v>-5629.8720000000003</v>
      </c>
      <c r="E67" s="72">
        <v>-3290.5638148854805</v>
      </c>
      <c r="F67" s="72">
        <v>-1626.1436242903901</v>
      </c>
      <c r="G67" s="72">
        <v>-1653.50775430005</v>
      </c>
      <c r="H67" s="72">
        <f>'[17]MD&amp;A'!$B$14</f>
        <v>-3177.9897245669003</v>
      </c>
      <c r="I67" s="72">
        <f>'[18]MD&amp;A (4Q16) '!$E$81</f>
        <v>-4035.8817301491999</v>
      </c>
      <c r="J67" s="72">
        <f>'[19]MD&amp;A(4Q17)'!$E$81</f>
        <v>-5233.1987249969698</v>
      </c>
      <c r="K67" s="73">
        <f>'[20]MD&amp;A(1Q18) '!$F$81</f>
        <v>-4035.8820941976096</v>
      </c>
      <c r="L67" s="74">
        <f>'[20]MD&amp;A(1Q18) '!$E$81</f>
        <v>-5235.7638582119707</v>
      </c>
      <c r="M67" s="72">
        <v>-3.6469309010385875</v>
      </c>
      <c r="N67" s="72">
        <v>-866.56630409402146</v>
      </c>
      <c r="O67" s="72">
        <v>-674.57101429748991</v>
      </c>
      <c r="P67" s="72">
        <f>F67-O67-N67-M67</f>
        <v>-81.359374997840149</v>
      </c>
      <c r="Q67" s="72">
        <f>'[21]MD&amp;A'!$C$13</f>
        <v>-0.93437512403702738</v>
      </c>
      <c r="R67" s="72">
        <f>'[22]MD&amp;A'!$C$13-Q67</f>
        <v>-732.20288927272293</v>
      </c>
      <c r="S67" s="72">
        <v>-919.90552950564006</v>
      </c>
      <c r="T67" s="72">
        <f>G67-S67-R67-Q67</f>
        <v>-0.46496039764999397</v>
      </c>
      <c r="U67" s="72">
        <f>'[21]MD&amp;A'!$B$13+'[21]MD&amp;A'!$B$14</f>
        <v>-318.93065924450531</v>
      </c>
      <c r="V67" s="72">
        <f>'[22]MD&amp;A'!$B$13+'[22]MD&amp;A'!$B$14-U67</f>
        <v>-1170.7561329784041</v>
      </c>
      <c r="W67" s="72">
        <f>'[17]MD&amp;A'!$C$53</f>
        <v>-1423.5992105315158</v>
      </c>
      <c r="X67" s="72">
        <f>'[17]MD&amp;A'!$B$53</f>
        <v>-264.70372181247512</v>
      </c>
      <c r="Y67" s="72">
        <f>'[26]MD&amp;A'!$B$33</f>
        <v>-264.65784217999999</v>
      </c>
      <c r="Z67" s="72">
        <f>'[24]MD&amp;A (2Q16)'!$B$33</f>
        <v>-1494.8659742769</v>
      </c>
      <c r="AA67" s="72">
        <f>'[25]MD&amp;A (3Q16) New'!$B$36</f>
        <v>-1708.9436457074003</v>
      </c>
      <c r="AB67" s="72">
        <f t="shared" si="60"/>
        <v>-567.41426798489965</v>
      </c>
      <c r="AC67" s="72">
        <f>'[27]MD&amp;A (1Q17) '!$B$81</f>
        <v>-264.65820622841005</v>
      </c>
      <c r="AD67" s="72">
        <f>'[28]MD&amp;A (2Q17) '!$B$81</f>
        <v>-2051.6007083867798</v>
      </c>
      <c r="AE67" s="72">
        <f>'[29]MD&amp;A (3Q17)  '!$B$81</f>
        <v>-2580.6919882833095</v>
      </c>
      <c r="AF67" s="72">
        <f t="shared" si="58"/>
        <v>-336.24782209847081</v>
      </c>
      <c r="AG67" s="76">
        <f>'[20]MD&amp;A(1Q18) '!$B$81</f>
        <v>-267.22333944341</v>
      </c>
    </row>
    <row r="68" spans="1:33">
      <c r="A68" s="2" t="s">
        <v>91</v>
      </c>
      <c r="B68" s="45" t="s">
        <v>38</v>
      </c>
      <c r="C68" s="122">
        <v>3824.5039999999999</v>
      </c>
      <c r="D68" s="56">
        <v>17223.786</v>
      </c>
      <c r="E68" s="107">
        <f>'[29]Summary HFM'!$W$389</f>
        <v>0</v>
      </c>
      <c r="F68" s="56">
        <f>'[29]Summary HFM'!$S$389</f>
        <v>0</v>
      </c>
      <c r="G68" s="56">
        <f>'[29]Summary HFM'!$O$389</f>
        <v>0</v>
      </c>
      <c r="H68" s="56">
        <f>'[29]Summary HFM'!$K$389/10^6</f>
        <v>0.53531446576118469</v>
      </c>
      <c r="I68" s="56">
        <f>'[29]Summary HFM'!$G$389</f>
        <v>0</v>
      </c>
      <c r="J68" s="56">
        <f>'[19]MD&amp;A(4Q17)'!$E$82</f>
        <v>15504.14671434039</v>
      </c>
      <c r="K68" s="123">
        <f>'[20]MD&amp;A(1Q18) '!$F$37</f>
        <v>1.2895901252202988</v>
      </c>
      <c r="L68" s="88">
        <f>'[20]MD&amp;A(1Q18) '!$E$37</f>
        <v>22651.145131859168</v>
      </c>
      <c r="M68" s="56">
        <v>0</v>
      </c>
      <c r="N68" s="56">
        <v>0</v>
      </c>
      <c r="O68" s="56">
        <v>0</v>
      </c>
      <c r="P68" s="56">
        <v>0</v>
      </c>
      <c r="Q68" s="56">
        <v>0</v>
      </c>
      <c r="R68" s="56">
        <v>0</v>
      </c>
      <c r="S68" s="56">
        <v>0</v>
      </c>
      <c r="T68" s="56">
        <v>0</v>
      </c>
      <c r="U68" s="56">
        <f>'[29]Summary HFM'!$N$389/10^6</f>
        <v>0</v>
      </c>
      <c r="V68" s="56">
        <f>('[29]Summary HFM'!$M$389-'[29]Summary HFM'!$N$389)/10^6</f>
        <v>0.53387999815177922</v>
      </c>
      <c r="W68" s="56">
        <f>('[29]Summary HFM'!$L$389-'[29]Summary HFM'!$M$389)/10^6</f>
        <v>-7.504620552062988E-6</v>
      </c>
      <c r="X68" s="56">
        <f>('[29]Summary HFM'!$K$389-'[29]Summary HFM'!$L$389)/10^6</f>
        <v>1.4419722299575807E-3</v>
      </c>
      <c r="Y68" s="56">
        <f>('[29]Summary HFM'!$J$389)/10^6</f>
        <v>0</v>
      </c>
      <c r="Z68" s="56">
        <f>('[29]Summary HFM'!$I$389-'[29]Summary HFM'!$J$389)/10^6</f>
        <v>0</v>
      </c>
      <c r="AA68" s="56">
        <f>'[29]MD&amp;A (3Q17)  '!$D$82</f>
        <v>0</v>
      </c>
      <c r="AB68" s="56">
        <f>I68-Y68-Z68-AA68</f>
        <v>0</v>
      </c>
      <c r="AC68" s="56">
        <f>('[29]Summary HFM'!$F$389)/10^6</f>
        <v>1.2895901252202988</v>
      </c>
      <c r="AD68" s="56">
        <f>'[29]MD&amp;A (3Q17)  '!$C$82</f>
        <v>0.71438790023040777</v>
      </c>
      <c r="AE68" s="56">
        <f>'[29]MD&amp;A (3Q17)  '!$B$82</f>
        <v>15482.966498967029</v>
      </c>
      <c r="AF68" s="56">
        <f>'[19]MD&amp;A(4Q17)'!$B$82</f>
        <v>19.176237347908021</v>
      </c>
      <c r="AG68" s="90">
        <f>'[20]MD&amp;A(1Q18) '!$B$82</f>
        <v>7148.2880076440033</v>
      </c>
    </row>
    <row r="69" spans="1:33">
      <c r="A69" s="2" t="s">
        <v>92</v>
      </c>
      <c r="B69" s="45" t="s">
        <v>38</v>
      </c>
      <c r="C69" s="56">
        <v>0</v>
      </c>
      <c r="D69" s="56">
        <v>0</v>
      </c>
      <c r="E69" s="107">
        <v>0</v>
      </c>
      <c r="F69" s="107">
        <v>0</v>
      </c>
      <c r="G69" s="72">
        <v>14874.07167302</v>
      </c>
      <c r="H69" s="107">
        <v>0</v>
      </c>
      <c r="I69" s="107">
        <v>0</v>
      </c>
      <c r="J69" s="107"/>
      <c r="K69" s="124"/>
      <c r="L69" s="88">
        <f>AD69+AE69+AF69+AG69</f>
        <v>0</v>
      </c>
      <c r="M69" s="56">
        <v>0</v>
      </c>
      <c r="N69" s="56">
        <v>0</v>
      </c>
      <c r="O69" s="56">
        <v>0</v>
      </c>
      <c r="P69" s="56">
        <v>0</v>
      </c>
      <c r="Q69" s="56">
        <v>0</v>
      </c>
      <c r="R69" s="56">
        <v>0</v>
      </c>
      <c r="S69" s="56">
        <v>0</v>
      </c>
      <c r="T69" s="72">
        <f>G69-S69-R69-Q69</f>
        <v>14874.07167302</v>
      </c>
      <c r="U69" s="107">
        <v>0</v>
      </c>
      <c r="V69" s="107">
        <v>0</v>
      </c>
      <c r="W69" s="107">
        <v>0</v>
      </c>
      <c r="X69" s="107">
        <v>0</v>
      </c>
      <c r="Y69" s="107">
        <v>0</v>
      </c>
      <c r="Z69" s="107">
        <v>0</v>
      </c>
      <c r="AA69" s="107">
        <v>0</v>
      </c>
      <c r="AB69" s="107">
        <f t="shared" si="60"/>
        <v>0</v>
      </c>
      <c r="AC69" s="107">
        <v>0</v>
      </c>
      <c r="AD69" s="107"/>
      <c r="AE69" s="107"/>
      <c r="AF69" s="107">
        <f t="shared" si="58"/>
        <v>0</v>
      </c>
      <c r="AG69" s="90"/>
    </row>
    <row r="70" spans="1:33">
      <c r="A70" s="5" t="s">
        <v>93</v>
      </c>
      <c r="B70" s="45" t="s">
        <v>38</v>
      </c>
      <c r="C70" s="72">
        <f t="shared" ref="C70:AC70" si="61">SUM(C64:C69)</f>
        <v>4604.6891005680673</v>
      </c>
      <c r="D70" s="72">
        <f t="shared" si="61"/>
        <v>-12230.942877291185</v>
      </c>
      <c r="E70" s="72">
        <f t="shared" si="61"/>
        <v>-32995.724726191111</v>
      </c>
      <c r="F70" s="72">
        <f t="shared" si="61"/>
        <v>-2054.3987145762103</v>
      </c>
      <c r="G70" s="72">
        <f t="shared" si="61"/>
        <v>18438.409310902942</v>
      </c>
      <c r="H70" s="72">
        <f t="shared" si="61"/>
        <v>-13652.77915024</v>
      </c>
      <c r="I70" s="72">
        <f>SUM(I64:I69)</f>
        <v>-20638.09942287609</v>
      </c>
      <c r="J70" s="72">
        <f>SUM(J64:J69)</f>
        <v>5217.2399308925633</v>
      </c>
      <c r="K70" s="73">
        <f>SUM(K64:K69)</f>
        <v>-4397.0550426351019</v>
      </c>
      <c r="L70" s="74">
        <f>SUM(L64:L69)</f>
        <v>12727.689886646791</v>
      </c>
      <c r="M70" s="72">
        <f t="shared" si="61"/>
        <v>-384.17805107560292</v>
      </c>
      <c r="N70" s="72">
        <f t="shared" si="61"/>
        <v>-209.66575195665393</v>
      </c>
      <c r="O70" s="72">
        <f t="shared" si="61"/>
        <v>-490.65660254891941</v>
      </c>
      <c r="P70" s="72">
        <f t="shared" si="61"/>
        <v>-969.89830899503613</v>
      </c>
      <c r="Q70" s="72">
        <f t="shared" si="61"/>
        <v>2121.2292661746187</v>
      </c>
      <c r="R70" s="72">
        <f t="shared" si="61"/>
        <v>766.94213558022977</v>
      </c>
      <c r="S70" s="72">
        <f t="shared" si="61"/>
        <v>1678.3405044984506</v>
      </c>
      <c r="T70" s="72">
        <f t="shared" si="61"/>
        <v>13871.897404649644</v>
      </c>
      <c r="U70" s="72">
        <f t="shared" si="61"/>
        <v>4839.869280016771</v>
      </c>
      <c r="V70" s="72">
        <f t="shared" si="61"/>
        <v>-14401.993488169452</v>
      </c>
      <c r="W70" s="72">
        <f t="shared" si="61"/>
        <v>-4124.2672117779457</v>
      </c>
      <c r="X70" s="72">
        <f t="shared" si="61"/>
        <v>33.628088062131056</v>
      </c>
      <c r="Y70" s="72">
        <f t="shared" si="61"/>
        <v>-14445.91030699343</v>
      </c>
      <c r="Z70" s="72">
        <f t="shared" si="61"/>
        <v>-9692.4627895685207</v>
      </c>
      <c r="AA70" s="72">
        <f>SUM(AA64:AA69)</f>
        <v>4065.7185556501504</v>
      </c>
      <c r="AB70" s="72">
        <f t="shared" si="61"/>
        <v>-565.44537462568746</v>
      </c>
      <c r="AC70" s="72">
        <f t="shared" si="61"/>
        <v>1795.1325333720181</v>
      </c>
      <c r="AD70" s="72">
        <f t="shared" ref="AD70" si="62">SUM(AD64:AD69)</f>
        <v>-7393.2522654984514</v>
      </c>
      <c r="AE70" s="72">
        <f>SUM(AE64:AE69)</f>
        <v>12294.9339805784</v>
      </c>
      <c r="AF70" s="72">
        <f t="shared" si="58"/>
        <v>-1479.5743175594034</v>
      </c>
      <c r="AG70" s="76">
        <f>SUM(AG64:AG69)</f>
        <v>9305.5824891262582</v>
      </c>
    </row>
    <row r="71" spans="1:33">
      <c r="A71" s="2" t="s">
        <v>94</v>
      </c>
      <c r="B71" s="45" t="s">
        <v>38</v>
      </c>
      <c r="C71" s="72">
        <f t="shared" ref="C71:Z71" si="63">C72-C70</f>
        <v>2891.3108994319327</v>
      </c>
      <c r="D71" s="72">
        <f t="shared" si="63"/>
        <v>-1364.0571227088149</v>
      </c>
      <c r="E71" s="72">
        <f t="shared" si="63"/>
        <v>636.16285209525086</v>
      </c>
      <c r="F71" s="72">
        <f t="shared" si="63"/>
        <v>-2861.0479482253113</v>
      </c>
      <c r="G71" s="72">
        <f t="shared" si="63"/>
        <v>-179.9385127384885</v>
      </c>
      <c r="H71" s="72">
        <f t="shared" si="63"/>
        <v>-3025.9038045636989</v>
      </c>
      <c r="I71" s="72">
        <f t="shared" si="63"/>
        <v>2443.8040172785913</v>
      </c>
      <c r="J71" s="72">
        <f>J72-J70</f>
        <v>3344.2485363506457</v>
      </c>
      <c r="K71" s="73">
        <f>K72-K70</f>
        <v>3646.2346602827074</v>
      </c>
      <c r="L71" s="74">
        <f>L72-L70</f>
        <v>3123.424517273952</v>
      </c>
      <c r="M71" s="72">
        <f t="shared" si="63"/>
        <v>1372.922619531349</v>
      </c>
      <c r="N71" s="72">
        <f t="shared" si="63"/>
        <v>-1873.938604817446</v>
      </c>
      <c r="O71" s="72">
        <f t="shared" si="63"/>
        <v>-267.68336447959496</v>
      </c>
      <c r="P71" s="72">
        <f t="shared" si="63"/>
        <v>-2092.3485984596173</v>
      </c>
      <c r="Q71" s="72">
        <f t="shared" si="63"/>
        <v>437.82321334954668</v>
      </c>
      <c r="R71" s="72">
        <f t="shared" si="63"/>
        <v>-660.14005679888589</v>
      </c>
      <c r="S71" s="72">
        <f t="shared" si="63"/>
        <v>125.58645480287987</v>
      </c>
      <c r="T71" s="72">
        <f t="shared" si="63"/>
        <v>-83.20812409203063</v>
      </c>
      <c r="U71" s="72">
        <f t="shared" si="63"/>
        <v>38.682668464475682</v>
      </c>
      <c r="V71" s="72">
        <f t="shared" si="63"/>
        <v>-819.14423130242903</v>
      </c>
      <c r="W71" s="72">
        <f t="shared" si="63"/>
        <v>-2576.8626039879146</v>
      </c>
      <c r="X71" s="72">
        <f t="shared" si="63"/>
        <v>331.40454389066474</v>
      </c>
      <c r="Y71" s="72">
        <f t="shared" si="63"/>
        <v>1157.6929479727496</v>
      </c>
      <c r="Z71" s="72">
        <f t="shared" si="63"/>
        <v>-26.033791732659665</v>
      </c>
      <c r="AA71" s="72">
        <f>AA72-AA70</f>
        <v>3039.8127175431869</v>
      </c>
      <c r="AB71" s="72">
        <f>AB72-AB70</f>
        <v>-1727.6673638432878</v>
      </c>
      <c r="AC71" s="72">
        <f t="shared" ref="AC71" si="64">AC72-AC70</f>
        <v>2360.1251308524061</v>
      </c>
      <c r="AD71" s="72">
        <f>AD72-AD70</f>
        <v>-408.16717654041531</v>
      </c>
      <c r="AE71" s="72">
        <f>AE72-AE70</f>
        <v>669.77068843463712</v>
      </c>
      <c r="AF71" s="72">
        <f t="shared" si="58"/>
        <v>722.51989360401785</v>
      </c>
      <c r="AG71" s="76">
        <f>AG72-AG70</f>
        <v>2139.3011117756996</v>
      </c>
    </row>
    <row r="72" spans="1:33">
      <c r="A72" s="5" t="s">
        <v>95</v>
      </c>
      <c r="B72" s="45" t="s">
        <v>38</v>
      </c>
      <c r="C72" s="105">
        <f>-C46+37540</f>
        <v>7496</v>
      </c>
      <c r="D72" s="65">
        <f t="shared" ref="D72:I72" si="65">-D46+C46</f>
        <v>-13595</v>
      </c>
      <c r="E72" s="105">
        <f t="shared" si="65"/>
        <v>-32359.56187409586</v>
      </c>
      <c r="F72" s="105">
        <f t="shared" si="65"/>
        <v>-4915.4466628015216</v>
      </c>
      <c r="G72" s="105">
        <f t="shared" si="65"/>
        <v>18258.470798164453</v>
      </c>
      <c r="H72" s="105">
        <f t="shared" si="65"/>
        <v>-16678.682954803699</v>
      </c>
      <c r="I72" s="105">
        <f t="shared" si="65"/>
        <v>-18194.295405597499</v>
      </c>
      <c r="J72" s="105">
        <f>-J46+I46</f>
        <v>8561.488467243209</v>
      </c>
      <c r="K72" s="106">
        <f>-K46+Y46</f>
        <v>-750.82038235239452</v>
      </c>
      <c r="L72" s="63">
        <f>-L46+K46</f>
        <v>15851.114403920743</v>
      </c>
      <c r="M72" s="105">
        <f>-M46+E46</f>
        <v>988.74456845574605</v>
      </c>
      <c r="N72" s="105">
        <f t="shared" ref="N72:AG72" si="66">-N46+M46</f>
        <v>-2083.6043567740999</v>
      </c>
      <c r="O72" s="105">
        <f t="shared" si="66"/>
        <v>-758.33996702851437</v>
      </c>
      <c r="P72" s="105">
        <f t="shared" si="66"/>
        <v>-3062.2469074546534</v>
      </c>
      <c r="Q72" s="105">
        <f t="shared" si="66"/>
        <v>2559.0524795241654</v>
      </c>
      <c r="R72" s="105">
        <f t="shared" si="66"/>
        <v>106.80207878134388</v>
      </c>
      <c r="S72" s="105">
        <f t="shared" si="66"/>
        <v>1803.9269593013305</v>
      </c>
      <c r="T72" s="105">
        <f t="shared" si="66"/>
        <v>13788.689280557614</v>
      </c>
      <c r="U72" s="105">
        <f t="shared" si="66"/>
        <v>4878.5519484812467</v>
      </c>
      <c r="V72" s="105">
        <f t="shared" si="66"/>
        <v>-15221.137719471881</v>
      </c>
      <c r="W72" s="105">
        <f t="shared" si="66"/>
        <v>-6701.1298157658603</v>
      </c>
      <c r="X72" s="105">
        <f t="shared" si="66"/>
        <v>365.03263195279578</v>
      </c>
      <c r="Y72" s="105">
        <f>-Y46+X46</f>
        <v>-13288.21735902068</v>
      </c>
      <c r="Z72" s="105">
        <f t="shared" si="66"/>
        <v>-9718.4965813011804</v>
      </c>
      <c r="AA72" s="105">
        <f t="shared" si="66"/>
        <v>7105.5312731933373</v>
      </c>
      <c r="AB72" s="105">
        <f t="shared" si="66"/>
        <v>-2293.1127384689753</v>
      </c>
      <c r="AC72" s="105">
        <f t="shared" si="66"/>
        <v>4155.2576642244239</v>
      </c>
      <c r="AD72" s="105">
        <f t="shared" si="66"/>
        <v>-7801.4194420388667</v>
      </c>
      <c r="AE72" s="105">
        <f t="shared" si="66"/>
        <v>12964.704669013037</v>
      </c>
      <c r="AF72" s="105">
        <f t="shared" si="66"/>
        <v>-757.05442395538557</v>
      </c>
      <c r="AG72" s="64">
        <f t="shared" si="66"/>
        <v>11444.883600901958</v>
      </c>
    </row>
    <row r="73" spans="1:33">
      <c r="A73" s="2" t="s">
        <v>96</v>
      </c>
      <c r="H73" s="25"/>
      <c r="I73" s="25"/>
      <c r="J73" s="25"/>
      <c r="K73" s="46"/>
      <c r="L73" s="125"/>
      <c r="M73" s="112">
        <f>E46-M46-M72</f>
        <v>0</v>
      </c>
      <c r="N73" s="112">
        <f t="shared" ref="N73:P73" si="67">M46-N46-N72</f>
        <v>0</v>
      </c>
      <c r="O73" s="112">
        <f t="shared" si="67"/>
        <v>0</v>
      </c>
      <c r="P73" s="112">
        <f t="shared" si="67"/>
        <v>0</v>
      </c>
      <c r="Q73" s="112">
        <f>P46-Q46-Q72</f>
        <v>0</v>
      </c>
      <c r="R73" s="25">
        <f t="shared" ref="R73:Y73" si="68">M46-SUM(N72:R72)-R46</f>
        <v>0</v>
      </c>
      <c r="S73" s="25">
        <f t="shared" si="68"/>
        <v>0</v>
      </c>
      <c r="T73" s="25">
        <f t="shared" si="68"/>
        <v>0</v>
      </c>
      <c r="U73" s="25">
        <f t="shared" si="68"/>
        <v>0</v>
      </c>
      <c r="V73" s="25">
        <f t="shared" si="68"/>
        <v>0</v>
      </c>
      <c r="W73" s="25">
        <f t="shared" si="68"/>
        <v>0</v>
      </c>
      <c r="X73" s="25">
        <f t="shared" si="68"/>
        <v>0</v>
      </c>
      <c r="Y73" s="25">
        <f t="shared" si="68"/>
        <v>0</v>
      </c>
      <c r="Z73" s="25">
        <f>U46-SUM(V72:Z72)-Z46</f>
        <v>0</v>
      </c>
      <c r="AA73" s="25">
        <f>V46-SUM(W72:AA72)-AA46</f>
        <v>0</v>
      </c>
      <c r="AB73" s="25">
        <f>W46-SUM(X72:AB72)-AB46</f>
        <v>0</v>
      </c>
      <c r="AC73" s="25">
        <f>X46-SUM(Y72:AC72)-AC46</f>
        <v>0</v>
      </c>
      <c r="AD73" s="25">
        <f>Y46-SUM(Z72:AD72)-AD46</f>
        <v>0</v>
      </c>
      <c r="AE73" s="25"/>
      <c r="AF73" s="25">
        <f>AA46-SUM(AB72:AF72)-AF46</f>
        <v>0</v>
      </c>
      <c r="AG73" s="126"/>
    </row>
    <row r="74" spans="1:33" s="38" customFormat="1">
      <c r="A74" s="38" t="s">
        <v>97</v>
      </c>
      <c r="B74" s="45" t="s">
        <v>33</v>
      </c>
      <c r="C74" s="38">
        <f t="shared" ref="C74:H74" si="69">C60/C54</f>
        <v>0.17423648283951684</v>
      </c>
      <c r="D74" s="38">
        <f t="shared" si="69"/>
        <v>0.1001681276315652</v>
      </c>
      <c r="E74" s="38">
        <f t="shared" si="69"/>
        <v>0.126494779162379</v>
      </c>
      <c r="F74" s="38">
        <f t="shared" si="69"/>
        <v>8.2149682695780046E-2</v>
      </c>
      <c r="G74" s="38">
        <f t="shared" si="69"/>
        <v>0.17101626833158887</v>
      </c>
      <c r="H74" s="38">
        <f t="shared" si="69"/>
        <v>0.16931764059052767</v>
      </c>
      <c r="I74" s="38">
        <f>I60/I54</f>
        <v>0.15162571509276679</v>
      </c>
      <c r="J74" s="38">
        <f>J60/J54</f>
        <v>0.17023980419510717</v>
      </c>
      <c r="K74" s="127">
        <f>K60/K54</f>
        <v>0.17278607088013462</v>
      </c>
      <c r="L74" s="128">
        <f>L60/L54</f>
        <v>0.17439881211769609</v>
      </c>
      <c r="AA74" s="22"/>
      <c r="AB74" s="22"/>
      <c r="AC74" s="22"/>
      <c r="AD74" s="22"/>
      <c r="AE74" s="22"/>
      <c r="AF74" s="22"/>
      <c r="AG74" s="118"/>
    </row>
    <row r="75" spans="1:33">
      <c r="A75" s="2" t="s">
        <v>98</v>
      </c>
      <c r="B75" s="45" t="s">
        <v>33</v>
      </c>
      <c r="C75" s="52">
        <f t="shared" ref="C75:AC75" si="70">C63/C16</f>
        <v>0.26376423625166073</v>
      </c>
      <c r="D75" s="52">
        <f t="shared" si="70"/>
        <v>0.26909329577936492</v>
      </c>
      <c r="E75" s="52">
        <f t="shared" si="70"/>
        <v>0.19772228962292304</v>
      </c>
      <c r="F75" s="52">
        <f t="shared" si="70"/>
        <v>0.1918741908894874</v>
      </c>
      <c r="G75" s="52">
        <f t="shared" si="70"/>
        <v>0.25474482485711042</v>
      </c>
      <c r="H75" s="52">
        <f t="shared" si="70"/>
        <v>0.20048844641434532</v>
      </c>
      <c r="I75" s="52">
        <f>I63/I16</f>
        <v>0.25447164665415756</v>
      </c>
      <c r="J75" s="52">
        <f>J63/J16</f>
        <v>0.28200855979974809</v>
      </c>
      <c r="K75" s="53">
        <f>K63/K16</f>
        <v>0.2622979680614147</v>
      </c>
      <c r="L75" s="129">
        <f>L63/L16</f>
        <v>0.26527775953671534</v>
      </c>
      <c r="M75" s="52">
        <f t="shared" si="70"/>
        <v>0.13986675265272627</v>
      </c>
      <c r="N75" s="52">
        <f t="shared" si="70"/>
        <v>0.20790492624418874</v>
      </c>
      <c r="O75" s="52">
        <f t="shared" si="70"/>
        <v>0.23468262380764701</v>
      </c>
      <c r="P75" s="52">
        <f t="shared" si="70"/>
        <v>0.16315693770585815</v>
      </c>
      <c r="Q75" s="52">
        <f t="shared" si="70"/>
        <v>0.1532357075623868</v>
      </c>
      <c r="R75" s="52">
        <f t="shared" si="70"/>
        <v>0.20615083730638228</v>
      </c>
      <c r="S75" s="52">
        <f t="shared" si="70"/>
        <v>0.18951092880014958</v>
      </c>
      <c r="T75" s="52">
        <f t="shared" si="70"/>
        <v>0.46454706696905129</v>
      </c>
      <c r="U75" s="52">
        <f t="shared" si="70"/>
        <v>0.18359771268260158</v>
      </c>
      <c r="V75" s="52">
        <f t="shared" si="70"/>
        <v>0.14791990872331462</v>
      </c>
      <c r="W75" s="52">
        <f t="shared" si="70"/>
        <v>0.21624683379582627</v>
      </c>
      <c r="X75" s="52">
        <f t="shared" si="70"/>
        <v>0.24878932162973433</v>
      </c>
      <c r="Y75" s="52">
        <f t="shared" si="70"/>
        <v>0.27061381220970548</v>
      </c>
      <c r="Z75" s="52">
        <f t="shared" si="70"/>
        <v>0.20748434848118247</v>
      </c>
      <c r="AA75" s="52">
        <f t="shared" si="70"/>
        <v>0.23345812597859505</v>
      </c>
      <c r="AB75" s="52">
        <f t="shared" si="70"/>
        <v>0.30902845438330723</v>
      </c>
      <c r="AC75" s="52">
        <f t="shared" si="70"/>
        <v>0.30005015752330849</v>
      </c>
      <c r="AD75" s="52">
        <f>AD63/AD16</f>
        <v>0.26264207324094946</v>
      </c>
      <c r="AE75" s="52">
        <f>AE63/AE16</f>
        <v>0.26741526609873656</v>
      </c>
      <c r="AF75" s="52">
        <f>AF63/AF16</f>
        <v>0.29740487166448198</v>
      </c>
      <c r="AG75" s="130">
        <f>AG63/AG16</f>
        <v>0.23088736004852534</v>
      </c>
    </row>
    <row r="76" spans="1:33">
      <c r="B76" s="45"/>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row>
    <row r="77" spans="1:33" s="131" customFormat="1" ht="46.5" customHeight="1">
      <c r="A77" s="135" t="s">
        <v>99</v>
      </c>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row>
    <row r="78" spans="1:33" s="131" customFormat="1" ht="60" customHeight="1">
      <c r="A78" s="135" t="s">
        <v>100</v>
      </c>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row>
    <row r="79" spans="1:33">
      <c r="I79" s="2"/>
      <c r="J79" s="2"/>
      <c r="K79" s="2"/>
      <c r="L79" s="2"/>
      <c r="V79" s="2"/>
      <c r="W79" s="2"/>
      <c r="X79" s="2"/>
      <c r="Y79" s="2"/>
      <c r="Z79" s="2"/>
      <c r="AC79" s="132"/>
      <c r="AD79" s="132"/>
      <c r="AG79" s="132"/>
    </row>
  </sheetData>
  <mergeCells count="2">
    <mergeCell ref="A77:AG77"/>
    <mergeCell ref="A78:AG78"/>
  </mergeCells>
  <pageMargins left="0.17" right="0.17" top="0.17" bottom="0.17" header="0.3" footer="0.3"/>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Historical Financials in THB</vt:lpstr>
      <vt:lpstr>'Historical Financials in THB'!Print_Area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Nonlapan Cheewinjarasroj</dc:creator>
  <cp:lastModifiedBy>Nonlapan Cheewinjarasroj</cp:lastModifiedBy>
  <dcterms:created xsi:type="dcterms:W3CDTF">2018-05-21T05:04:46Z</dcterms:created>
  <dcterms:modified xsi:type="dcterms:W3CDTF">2018-05-22T04:30:17Z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