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40" windowWidth="19420" windowHeight="6740"/>
  </bookViews>
  <sheets>
    <sheet name="Historical Financials in THB"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xlnm.Print_Area" localSheetId="0">'Historical Financials in THB'!$A$1:$AO$79</definedName>
  </definedNames>
  <calcPr calcId="145621"/>
</workbook>
</file>

<file path=xl/calcChain.xml><?xml version="1.0" encoding="utf-8"?>
<calcChain xmlns="http://schemas.openxmlformats.org/spreadsheetml/2006/main">
  <c r="AO69" i="1" l="1"/>
  <c r="AF69" i="1"/>
  <c r="AB69" i="1"/>
  <c r="K69" i="1" s="1"/>
  <c r="T69" i="1"/>
  <c r="L69" i="1"/>
  <c r="AI68" i="1"/>
  <c r="AH68" i="1"/>
  <c r="AG68" i="1"/>
  <c r="AF68" i="1"/>
  <c r="AE68" i="1"/>
  <c r="AD68" i="1"/>
  <c r="AC68" i="1"/>
  <c r="AL68" i="1" s="1"/>
  <c r="AA68" i="1"/>
  <c r="Z68" i="1"/>
  <c r="Y68" i="1"/>
  <c r="X68" i="1"/>
  <c r="W68" i="1"/>
  <c r="V68" i="1"/>
  <c r="U68" i="1"/>
  <c r="L68" i="1"/>
  <c r="K68" i="1"/>
  <c r="J68" i="1"/>
  <c r="I68" i="1"/>
  <c r="AB68" i="1" s="1"/>
  <c r="H68" i="1"/>
  <c r="G68" i="1"/>
  <c r="F68" i="1"/>
  <c r="E68" i="1"/>
  <c r="AI67" i="1"/>
  <c r="AH67" i="1"/>
  <c r="AG67" i="1"/>
  <c r="AN67" i="1" s="1"/>
  <c r="AE67" i="1"/>
  <c r="AD67" i="1"/>
  <c r="AC67" i="1"/>
  <c r="AA67" i="1"/>
  <c r="Z67" i="1"/>
  <c r="Y67" i="1"/>
  <c r="X67" i="1"/>
  <c r="W67" i="1"/>
  <c r="U67" i="1"/>
  <c r="V67" i="1" s="1"/>
  <c r="Q67" i="1"/>
  <c r="R67" i="1" s="1"/>
  <c r="T67" i="1" s="1"/>
  <c r="P67" i="1"/>
  <c r="L67" i="1"/>
  <c r="K67" i="1"/>
  <c r="J67" i="1"/>
  <c r="AF67" i="1" s="1"/>
  <c r="I67" i="1"/>
  <c r="AB67" i="1" s="1"/>
  <c r="H67" i="1"/>
  <c r="AI66" i="1"/>
  <c r="AH66" i="1"/>
  <c r="AG66" i="1"/>
  <c r="AN66" i="1" s="1"/>
  <c r="AE66" i="1"/>
  <c r="AD66" i="1"/>
  <c r="AC66" i="1"/>
  <c r="AL66" i="1" s="1"/>
  <c r="AA66" i="1"/>
  <c r="Z66" i="1"/>
  <c r="Y66" i="1"/>
  <c r="X66" i="1"/>
  <c r="W66" i="1"/>
  <c r="V66" i="1"/>
  <c r="U66" i="1"/>
  <c r="Q66" i="1"/>
  <c r="R66" i="1" s="1"/>
  <c r="T66" i="1" s="1"/>
  <c r="P66" i="1"/>
  <c r="L66" i="1"/>
  <c r="K66" i="1"/>
  <c r="J66" i="1"/>
  <c r="AF66" i="1" s="1"/>
  <c r="I66" i="1"/>
  <c r="AB66" i="1" s="1"/>
  <c r="AK66" i="1" s="1"/>
  <c r="H66" i="1"/>
  <c r="AI65" i="1"/>
  <c r="AH65" i="1"/>
  <c r="AG65" i="1"/>
  <c r="AE65" i="1"/>
  <c r="AD65" i="1"/>
  <c r="AC65" i="1"/>
  <c r="AB65" i="1"/>
  <c r="AA65" i="1"/>
  <c r="Z65" i="1"/>
  <c r="Y65" i="1"/>
  <c r="X65" i="1"/>
  <c r="W65" i="1"/>
  <c r="U65" i="1"/>
  <c r="V65" i="1" s="1"/>
  <c r="R65" i="1"/>
  <c r="T65" i="1" s="1"/>
  <c r="Q65" i="1"/>
  <c r="P65" i="1"/>
  <c r="L65" i="1"/>
  <c r="K65" i="1"/>
  <c r="J65" i="1"/>
  <c r="H65" i="1"/>
  <c r="AI63" i="1"/>
  <c r="AH63" i="1"/>
  <c r="AG63" i="1"/>
  <c r="AE63" i="1"/>
  <c r="AD63" i="1"/>
  <c r="AC63" i="1"/>
  <c r="AB63" i="1"/>
  <c r="AA63" i="1"/>
  <c r="Z63" i="1"/>
  <c r="Y63" i="1"/>
  <c r="X63" i="1"/>
  <c r="W63" i="1"/>
  <c r="U63" i="1"/>
  <c r="Q63" i="1"/>
  <c r="N63" i="1"/>
  <c r="O63" i="1" s="1"/>
  <c r="L63" i="1"/>
  <c r="K63" i="1"/>
  <c r="J63" i="1"/>
  <c r="I63" i="1"/>
  <c r="H63" i="1"/>
  <c r="AO62" i="1"/>
  <c r="AI62" i="1"/>
  <c r="AH62" i="1"/>
  <c r="AG62" i="1"/>
  <c r="AE62" i="1"/>
  <c r="AD62" i="1"/>
  <c r="AC62" i="1"/>
  <c r="AB62" i="1"/>
  <c r="AA62" i="1"/>
  <c r="Z62" i="1"/>
  <c r="Y62" i="1"/>
  <c r="AJ62" i="1" s="1"/>
  <c r="X62" i="1"/>
  <c r="W62" i="1"/>
  <c r="V62" i="1"/>
  <c r="U62" i="1"/>
  <c r="T62" i="1"/>
  <c r="S62" i="1"/>
  <c r="R62" i="1"/>
  <c r="Q62" i="1"/>
  <c r="P62" i="1"/>
  <c r="O62" i="1"/>
  <c r="N62" i="1"/>
  <c r="M62" i="1"/>
  <c r="M64" i="1" s="1"/>
  <c r="M70" i="1" s="1"/>
  <c r="L62" i="1"/>
  <c r="K62" i="1"/>
  <c r="J62" i="1"/>
  <c r="I62" i="1"/>
  <c r="H62" i="1"/>
  <c r="G62" i="1"/>
  <c r="G64" i="1" s="1"/>
  <c r="G70" i="1" s="1"/>
  <c r="F62" i="1"/>
  <c r="F64" i="1" s="1"/>
  <c r="F70" i="1" s="1"/>
  <c r="E62" i="1"/>
  <c r="E64" i="1" s="1"/>
  <c r="E70" i="1" s="1"/>
  <c r="D62" i="1"/>
  <c r="C62" i="1"/>
  <c r="AI61" i="1"/>
  <c r="AH61" i="1"/>
  <c r="AG61" i="1"/>
  <c r="AE61" i="1"/>
  <c r="AD61" i="1"/>
  <c r="AC61" i="1"/>
  <c r="AB61" i="1"/>
  <c r="AA61" i="1"/>
  <c r="Z61" i="1"/>
  <c r="Y61" i="1"/>
  <c r="X61" i="1"/>
  <c r="W61" i="1"/>
  <c r="V61" i="1"/>
  <c r="U61" i="1"/>
  <c r="Q61" i="1"/>
  <c r="R61" i="1" s="1"/>
  <c r="S61" i="1" s="1"/>
  <c r="N61" i="1"/>
  <c r="O61" i="1" s="1"/>
  <c r="L61" i="1"/>
  <c r="K61" i="1"/>
  <c r="J61" i="1"/>
  <c r="I61" i="1"/>
  <c r="H61" i="1"/>
  <c r="AI60" i="1"/>
  <c r="AI64" i="1" s="1"/>
  <c r="AI70" i="1" s="1"/>
  <c r="AH60" i="1"/>
  <c r="AH64" i="1" s="1"/>
  <c r="AH70" i="1" s="1"/>
  <c r="AG60" i="1"/>
  <c r="AG64" i="1" s="1"/>
  <c r="AG70" i="1" s="1"/>
  <c r="AE60" i="1"/>
  <c r="AD60" i="1"/>
  <c r="AD64" i="1" s="1"/>
  <c r="AD70" i="1" s="1"/>
  <c r="AC60" i="1"/>
  <c r="AA60" i="1"/>
  <c r="AA64" i="1" s="1"/>
  <c r="AA70" i="1" s="1"/>
  <c r="Z60" i="1"/>
  <c r="Z64" i="1" s="1"/>
  <c r="Z70" i="1" s="1"/>
  <c r="Y60" i="1"/>
  <c r="Y64" i="1" s="1"/>
  <c r="Y70" i="1" s="1"/>
  <c r="W60" i="1"/>
  <c r="W64" i="1" s="1"/>
  <c r="W70" i="1" s="1"/>
  <c r="V60" i="1"/>
  <c r="U60" i="1"/>
  <c r="U64" i="1" s="1"/>
  <c r="U70" i="1" s="1"/>
  <c r="Q60" i="1"/>
  <c r="R60" i="1" s="1"/>
  <c r="P60" i="1"/>
  <c r="L60" i="1"/>
  <c r="K60" i="1"/>
  <c r="J60" i="1"/>
  <c r="I60" i="1"/>
  <c r="H60" i="1"/>
  <c r="AN52" i="1"/>
  <c r="AI52" i="1"/>
  <c r="L52" i="1" s="1"/>
  <c r="AH52" i="1"/>
  <c r="AG52" i="1"/>
  <c r="AE52" i="1"/>
  <c r="K52" i="1" s="1"/>
  <c r="AD52" i="1"/>
  <c r="AL52" i="1" s="1"/>
  <c r="AC52" i="1"/>
  <c r="AA52" i="1"/>
  <c r="Z52" i="1"/>
  <c r="AJ52" i="1" s="1"/>
  <c r="Y52" i="1"/>
  <c r="X52" i="1"/>
  <c r="W52" i="1"/>
  <c r="V52" i="1"/>
  <c r="U52" i="1"/>
  <c r="T52" i="1"/>
  <c r="S52" i="1"/>
  <c r="R52" i="1"/>
  <c r="Q52" i="1"/>
  <c r="P52" i="1"/>
  <c r="O52" i="1"/>
  <c r="N52" i="1"/>
  <c r="M52" i="1"/>
  <c r="J52" i="1"/>
  <c r="AF52" i="1" s="1"/>
  <c r="AM52" i="1" s="1"/>
  <c r="I52" i="1"/>
  <c r="AB52" i="1" s="1"/>
  <c r="AK52" i="1" s="1"/>
  <c r="H52" i="1"/>
  <c r="G52" i="1"/>
  <c r="F52" i="1"/>
  <c r="E52" i="1"/>
  <c r="D52" i="1"/>
  <c r="C52" i="1"/>
  <c r="AN51" i="1"/>
  <c r="AI51" i="1"/>
  <c r="L51" i="1" s="1"/>
  <c r="AH51" i="1"/>
  <c r="AG51" i="1"/>
  <c r="AE51" i="1"/>
  <c r="AD51" i="1"/>
  <c r="AL51" i="1" s="1"/>
  <c r="AC51" i="1"/>
  <c r="AA51" i="1"/>
  <c r="Z51" i="1"/>
  <c r="AJ51" i="1" s="1"/>
  <c r="W51" i="1"/>
  <c r="K51" i="1"/>
  <c r="J51" i="1"/>
  <c r="AF51" i="1" s="1"/>
  <c r="AM51" i="1" s="1"/>
  <c r="I51" i="1"/>
  <c r="AB51" i="1" s="1"/>
  <c r="AK51" i="1" s="1"/>
  <c r="F51" i="1"/>
  <c r="AN49" i="1"/>
  <c r="AI49" i="1"/>
  <c r="AI50" i="1" s="1"/>
  <c r="AH49" i="1"/>
  <c r="AG49" i="1"/>
  <c r="AG50" i="1" s="1"/>
  <c r="AE49" i="1"/>
  <c r="K49" i="1" s="1"/>
  <c r="AD49" i="1"/>
  <c r="AL49" i="1" s="1"/>
  <c r="AC49" i="1"/>
  <c r="AA49" i="1"/>
  <c r="AA50" i="1" s="1"/>
  <c r="Z49" i="1"/>
  <c r="AJ49" i="1" s="1"/>
  <c r="Y49" i="1"/>
  <c r="X49" i="1"/>
  <c r="W49" i="1"/>
  <c r="V49" i="1"/>
  <c r="U49" i="1"/>
  <c r="S49" i="1"/>
  <c r="R49" i="1"/>
  <c r="Q49" i="1"/>
  <c r="P49" i="1"/>
  <c r="O49" i="1"/>
  <c r="N49" i="1"/>
  <c r="M49" i="1"/>
  <c r="L49" i="1"/>
  <c r="J49" i="1"/>
  <c r="AF49" i="1" s="1"/>
  <c r="I49" i="1"/>
  <c r="H49" i="1"/>
  <c r="G49" i="1"/>
  <c r="T49" i="1" s="1"/>
  <c r="F49" i="1"/>
  <c r="E49" i="1"/>
  <c r="D49" i="1"/>
  <c r="C49" i="1"/>
  <c r="AN47" i="1"/>
  <c r="AI47" i="1"/>
  <c r="L47" i="1" s="1"/>
  <c r="AH47" i="1"/>
  <c r="AG47" i="1"/>
  <c r="AE47" i="1"/>
  <c r="K47" i="1" s="1"/>
  <c r="AD47" i="1"/>
  <c r="AL47" i="1" s="1"/>
  <c r="AC47" i="1"/>
  <c r="AA47" i="1"/>
  <c r="Z47" i="1"/>
  <c r="AJ47" i="1" s="1"/>
  <c r="Y47" i="1"/>
  <c r="X47" i="1"/>
  <c r="W47" i="1"/>
  <c r="V47" i="1"/>
  <c r="U47" i="1"/>
  <c r="T47" i="1"/>
  <c r="S47" i="1"/>
  <c r="R47" i="1"/>
  <c r="Q47" i="1"/>
  <c r="P47" i="1"/>
  <c r="O47" i="1"/>
  <c r="N47" i="1"/>
  <c r="M47" i="1"/>
  <c r="J47" i="1"/>
  <c r="AF47" i="1" s="1"/>
  <c r="AM47" i="1" s="1"/>
  <c r="I47" i="1"/>
  <c r="AB47" i="1" s="1"/>
  <c r="AK47" i="1" s="1"/>
  <c r="H47" i="1"/>
  <c r="G47" i="1"/>
  <c r="F47" i="1"/>
  <c r="E47" i="1"/>
  <c r="D47" i="1"/>
  <c r="C47" i="1"/>
  <c r="AN45" i="1"/>
  <c r="AI45" i="1"/>
  <c r="L45" i="1" s="1"/>
  <c r="AH45" i="1"/>
  <c r="AG45" i="1"/>
  <c r="AE45" i="1"/>
  <c r="K45" i="1" s="1"/>
  <c r="AD45" i="1"/>
  <c r="AL45" i="1" s="1"/>
  <c r="AC45" i="1"/>
  <c r="AA45" i="1"/>
  <c r="Z45" i="1"/>
  <c r="AJ45" i="1" s="1"/>
  <c r="Y45" i="1"/>
  <c r="X45" i="1"/>
  <c r="W45" i="1"/>
  <c r="V45" i="1"/>
  <c r="U45" i="1"/>
  <c r="T45" i="1"/>
  <c r="S45" i="1"/>
  <c r="R45" i="1"/>
  <c r="Q45" i="1"/>
  <c r="P45" i="1"/>
  <c r="O45" i="1"/>
  <c r="N45" i="1"/>
  <c r="M45" i="1"/>
  <c r="J45" i="1"/>
  <c r="AF45" i="1" s="1"/>
  <c r="AM45" i="1" s="1"/>
  <c r="I45" i="1"/>
  <c r="AB45" i="1" s="1"/>
  <c r="AK45" i="1" s="1"/>
  <c r="H45" i="1"/>
  <c r="G45" i="1"/>
  <c r="F45" i="1"/>
  <c r="E45" i="1"/>
  <c r="D45" i="1"/>
  <c r="C45" i="1"/>
  <c r="AN44" i="1"/>
  <c r="AI44" i="1"/>
  <c r="AH44" i="1"/>
  <c r="AG44" i="1"/>
  <c r="AE44" i="1"/>
  <c r="AD44" i="1"/>
  <c r="AC44" i="1"/>
  <c r="AA44" i="1"/>
  <c r="Z44" i="1"/>
  <c r="AJ44" i="1" s="1"/>
  <c r="Y44" i="1"/>
  <c r="X44" i="1"/>
  <c r="W44" i="1"/>
  <c r="V44" i="1"/>
  <c r="U44" i="1"/>
  <c r="T44" i="1"/>
  <c r="T46" i="1" s="1"/>
  <c r="S44" i="1"/>
  <c r="S46" i="1" s="1"/>
  <c r="R44" i="1"/>
  <c r="Q44" i="1"/>
  <c r="Q46" i="1" s="1"/>
  <c r="P44" i="1"/>
  <c r="P46" i="1" s="1"/>
  <c r="O44" i="1"/>
  <c r="O46" i="1" s="1"/>
  <c r="N44" i="1"/>
  <c r="M44" i="1"/>
  <c r="M46" i="1" s="1"/>
  <c r="J44" i="1"/>
  <c r="AF44" i="1" s="1"/>
  <c r="I44" i="1"/>
  <c r="H44" i="1"/>
  <c r="G44" i="1"/>
  <c r="F44" i="1"/>
  <c r="F46" i="1" s="1"/>
  <c r="E44" i="1"/>
  <c r="D44" i="1"/>
  <c r="C44" i="1"/>
  <c r="D40" i="1"/>
  <c r="C40" i="1"/>
  <c r="AI39" i="1"/>
  <c r="AH39" i="1"/>
  <c r="AG39" i="1"/>
  <c r="AE39" i="1"/>
  <c r="AD39" i="1"/>
  <c r="AC39" i="1"/>
  <c r="AA39" i="1"/>
  <c r="Z39" i="1"/>
  <c r="Y39" i="1"/>
  <c r="W39" i="1"/>
  <c r="V39" i="1"/>
  <c r="U39" i="1"/>
  <c r="T39" i="1"/>
  <c r="S39" i="1"/>
  <c r="R39" i="1"/>
  <c r="Q39" i="1"/>
  <c r="O39" i="1"/>
  <c r="N39" i="1"/>
  <c r="M39" i="1"/>
  <c r="J39" i="1"/>
  <c r="I39" i="1"/>
  <c r="H39" i="1"/>
  <c r="G39" i="1"/>
  <c r="F39" i="1"/>
  <c r="E39" i="1"/>
  <c r="D39" i="1"/>
  <c r="AI38" i="1"/>
  <c r="AH38" i="1"/>
  <c r="AG38" i="1"/>
  <c r="AE38" i="1"/>
  <c r="AD38" i="1"/>
  <c r="AC38" i="1"/>
  <c r="AA38" i="1"/>
  <c r="Z38" i="1"/>
  <c r="Y38" i="1"/>
  <c r="W38" i="1"/>
  <c r="V38" i="1"/>
  <c r="U38" i="1"/>
  <c r="T38" i="1"/>
  <c r="S38" i="1"/>
  <c r="R38" i="1"/>
  <c r="Q38" i="1"/>
  <c r="O38" i="1"/>
  <c r="N38" i="1"/>
  <c r="M38" i="1"/>
  <c r="J38" i="1"/>
  <c r="I38" i="1"/>
  <c r="H38" i="1"/>
  <c r="G38" i="1"/>
  <c r="F38" i="1"/>
  <c r="E38" i="1"/>
  <c r="D38" i="1"/>
  <c r="AI37" i="1"/>
  <c r="AH37" i="1"/>
  <c r="AG37" i="1"/>
  <c r="AG36" i="1" s="1"/>
  <c r="AE37" i="1"/>
  <c r="AD37" i="1"/>
  <c r="AC37" i="1"/>
  <c r="AA37" i="1"/>
  <c r="Z37" i="1"/>
  <c r="Y37" i="1"/>
  <c r="W37" i="1"/>
  <c r="V37" i="1"/>
  <c r="U37" i="1"/>
  <c r="T37" i="1"/>
  <c r="S37" i="1"/>
  <c r="R37" i="1"/>
  <c r="Q37" i="1"/>
  <c r="O37" i="1"/>
  <c r="N37" i="1"/>
  <c r="M37" i="1"/>
  <c r="J37" i="1"/>
  <c r="I37" i="1"/>
  <c r="H37" i="1"/>
  <c r="G37" i="1"/>
  <c r="F37" i="1"/>
  <c r="E37" i="1"/>
  <c r="D37" i="1"/>
  <c r="AS36" i="1"/>
  <c r="AR36" i="1"/>
  <c r="AQ36" i="1"/>
  <c r="AP36" i="1"/>
  <c r="AO36" i="1"/>
  <c r="AE36" i="1"/>
  <c r="AA36" i="1"/>
  <c r="Z36" i="1"/>
  <c r="Y36" i="1"/>
  <c r="W36" i="1"/>
  <c r="V36" i="1"/>
  <c r="U36" i="1"/>
  <c r="T36" i="1"/>
  <c r="S36" i="1"/>
  <c r="R36" i="1"/>
  <c r="Q36" i="1"/>
  <c r="P36" i="1"/>
  <c r="O36" i="1"/>
  <c r="N36" i="1"/>
  <c r="M36" i="1"/>
  <c r="H36" i="1"/>
  <c r="G36" i="1"/>
  <c r="F36" i="1"/>
  <c r="E36" i="1"/>
  <c r="D36" i="1"/>
  <c r="C36" i="1"/>
  <c r="AN34" i="1"/>
  <c r="AI34" i="1"/>
  <c r="AH34" i="1"/>
  <c r="AG34" i="1"/>
  <c r="AE34" i="1"/>
  <c r="AD34" i="1"/>
  <c r="AC34" i="1"/>
  <c r="AA34" i="1"/>
  <c r="Z34" i="1"/>
  <c r="Y34" i="1"/>
  <c r="X34" i="1"/>
  <c r="W34" i="1"/>
  <c r="V34" i="1"/>
  <c r="U34" i="1"/>
  <c r="T34" i="1"/>
  <c r="S34" i="1"/>
  <c r="R34" i="1"/>
  <c r="Q34" i="1"/>
  <c r="P34" i="1"/>
  <c r="O34" i="1"/>
  <c r="N34" i="1"/>
  <c r="M34" i="1"/>
  <c r="L34" i="1"/>
  <c r="K34" i="1"/>
  <c r="J34" i="1"/>
  <c r="I34" i="1"/>
  <c r="H34" i="1"/>
  <c r="G34" i="1"/>
  <c r="F34" i="1"/>
  <c r="E34" i="1"/>
  <c r="D34" i="1"/>
  <c r="C34" i="1"/>
  <c r="AO31" i="1"/>
  <c r="AI30" i="1"/>
  <c r="AH30" i="1"/>
  <c r="AG30" i="1"/>
  <c r="AF30" i="1"/>
  <c r="AE30" i="1"/>
  <c r="AD30" i="1"/>
  <c r="AC30" i="1"/>
  <c r="AA30" i="1"/>
  <c r="I30" i="1" s="1"/>
  <c r="AB30" i="1" s="1"/>
  <c r="Z30" i="1"/>
  <c r="Y30" i="1"/>
  <c r="X30" i="1"/>
  <c r="W30" i="1" s="1"/>
  <c r="V30" i="1"/>
  <c r="U30" i="1" s="1"/>
  <c r="T30" i="1" s="1"/>
  <c r="S30" i="1" s="1"/>
  <c r="R30" i="1" s="1"/>
  <c r="Q30" i="1" s="1"/>
  <c r="P30" i="1" s="1"/>
  <c r="O30" i="1" s="1"/>
  <c r="N30" i="1" s="1"/>
  <c r="M30" i="1" s="1"/>
  <c r="L30" i="1"/>
  <c r="K30" i="1"/>
  <c r="J30" i="1"/>
  <c r="AN29" i="1"/>
  <c r="AI29" i="1"/>
  <c r="AH29" i="1"/>
  <c r="AG29" i="1"/>
  <c r="AE29" i="1"/>
  <c r="AD29" i="1"/>
  <c r="AC29" i="1"/>
  <c r="Y29" i="1"/>
  <c r="U29" i="1"/>
  <c r="V29" i="1" s="1"/>
  <c r="L29" i="1"/>
  <c r="K29" i="1"/>
  <c r="J29" i="1"/>
  <c r="I29" i="1"/>
  <c r="H29" i="1"/>
  <c r="G29" i="1"/>
  <c r="T29" i="1" s="1"/>
  <c r="AS25" i="1"/>
  <c r="AR25" i="1"/>
  <c r="AQ25" i="1"/>
  <c r="AP25" i="1"/>
  <c r="AN25" i="1"/>
  <c r="AI25" i="1"/>
  <c r="AH25" i="1"/>
  <c r="AG25" i="1"/>
  <c r="AE25" i="1"/>
  <c r="AD25" i="1"/>
  <c r="AC25" i="1"/>
  <c r="AA25" i="1"/>
  <c r="Z25" i="1"/>
  <c r="Y25" i="1"/>
  <c r="X25" i="1"/>
  <c r="W25" i="1"/>
  <c r="U25" i="1"/>
  <c r="T25" i="1"/>
  <c r="S25" i="1"/>
  <c r="R25" i="1"/>
  <c r="Q25" i="1"/>
  <c r="P25" i="1"/>
  <c r="O25" i="1"/>
  <c r="N25" i="1"/>
  <c r="M25" i="1"/>
  <c r="L25" i="1"/>
  <c r="K25" i="1"/>
  <c r="J25" i="1"/>
  <c r="I25" i="1"/>
  <c r="H25" i="1"/>
  <c r="G25" i="1"/>
  <c r="F25" i="1"/>
  <c r="E25" i="1"/>
  <c r="D25" i="1"/>
  <c r="C25" i="1"/>
  <c r="AS23" i="1"/>
  <c r="AR23" i="1"/>
  <c r="AQ23" i="1"/>
  <c r="AP23" i="1"/>
  <c r="AO23" i="1"/>
  <c r="AN23" i="1"/>
  <c r="AN40" i="1" s="1"/>
  <c r="AI23" i="1"/>
  <c r="AI40" i="1" s="1"/>
  <c r="AH23" i="1"/>
  <c r="AH40" i="1" s="1"/>
  <c r="AG23" i="1"/>
  <c r="AG40" i="1" s="1"/>
  <c r="AE23" i="1"/>
  <c r="AE40" i="1" s="1"/>
  <c r="AD23" i="1"/>
  <c r="AD40" i="1" s="1"/>
  <c r="AC23" i="1"/>
  <c r="AC40" i="1" s="1"/>
  <c r="AB23" i="1"/>
  <c r="AB40" i="1" s="1"/>
  <c r="AA23" i="1"/>
  <c r="AA40" i="1" s="1"/>
  <c r="Z23" i="1"/>
  <c r="Z40" i="1" s="1"/>
  <c r="Y23" i="1"/>
  <c r="Y40" i="1" s="1"/>
  <c r="X23" i="1"/>
  <c r="X40" i="1" s="1"/>
  <c r="W23" i="1"/>
  <c r="W40" i="1" s="1"/>
  <c r="V23" i="1"/>
  <c r="V40" i="1" s="1"/>
  <c r="U23" i="1"/>
  <c r="U40" i="1" s="1"/>
  <c r="T23" i="1"/>
  <c r="T40" i="1" s="1"/>
  <c r="S23" i="1"/>
  <c r="S40" i="1" s="1"/>
  <c r="R23" i="1"/>
  <c r="R40" i="1" s="1"/>
  <c r="Q23" i="1"/>
  <c r="Q40" i="1" s="1"/>
  <c r="P23" i="1"/>
  <c r="P40" i="1" s="1"/>
  <c r="O23" i="1"/>
  <c r="O40" i="1" s="1"/>
  <c r="N23" i="1"/>
  <c r="N40" i="1" s="1"/>
  <c r="M23" i="1"/>
  <c r="M40" i="1" s="1"/>
  <c r="L23" i="1"/>
  <c r="L40" i="1" s="1"/>
  <c r="K23" i="1"/>
  <c r="J23" i="1"/>
  <c r="J40" i="1" s="1"/>
  <c r="I23" i="1"/>
  <c r="I40" i="1" s="1"/>
  <c r="H23" i="1"/>
  <c r="H40" i="1" s="1"/>
  <c r="G23" i="1"/>
  <c r="G40" i="1" s="1"/>
  <c r="F23" i="1"/>
  <c r="F40" i="1" s="1"/>
  <c r="E23" i="1"/>
  <c r="E40" i="1" s="1"/>
  <c r="AR22" i="1"/>
  <c r="AQ22" i="1"/>
  <c r="AP22" i="1"/>
  <c r="AN22" i="1"/>
  <c r="AI22" i="1"/>
  <c r="AH22" i="1"/>
  <c r="AG22" i="1"/>
  <c r="AE22" i="1"/>
  <c r="AD22" i="1"/>
  <c r="AC22" i="1"/>
  <c r="AA22" i="1"/>
  <c r="Z22" i="1"/>
  <c r="Y22" i="1"/>
  <c r="X22" i="1"/>
  <c r="W22" i="1"/>
  <c r="U22" i="1"/>
  <c r="T22" i="1"/>
  <c r="S22" i="1"/>
  <c r="R22" i="1"/>
  <c r="Q22" i="1"/>
  <c r="P22" i="1"/>
  <c r="O22" i="1"/>
  <c r="N22" i="1"/>
  <c r="M22" i="1"/>
  <c r="L22" i="1"/>
  <c r="K22" i="1"/>
  <c r="J22" i="1"/>
  <c r="I22" i="1"/>
  <c r="H22" i="1"/>
  <c r="G22" i="1"/>
  <c r="F22" i="1"/>
  <c r="E22" i="1"/>
  <c r="AR21" i="1"/>
  <c r="AQ21" i="1"/>
  <c r="AP21" i="1"/>
  <c r="AN21" i="1"/>
  <c r="AI21" i="1"/>
  <c r="AH21" i="1"/>
  <c r="AG21" i="1"/>
  <c r="AE21" i="1"/>
  <c r="AD21" i="1"/>
  <c r="AC21" i="1"/>
  <c r="AA21" i="1"/>
  <c r="Z21" i="1"/>
  <c r="Y21" i="1"/>
  <c r="X21" i="1"/>
  <c r="W21" i="1"/>
  <c r="V21" i="1"/>
  <c r="U21" i="1"/>
  <c r="T21" i="1"/>
  <c r="S21" i="1"/>
  <c r="R21" i="1"/>
  <c r="Q21" i="1"/>
  <c r="P21" i="1"/>
  <c r="O21" i="1"/>
  <c r="N21" i="1"/>
  <c r="M21" i="1"/>
  <c r="L21" i="1"/>
  <c r="K21" i="1"/>
  <c r="J21" i="1"/>
  <c r="I21" i="1"/>
  <c r="H21" i="1"/>
  <c r="G21" i="1"/>
  <c r="F21" i="1"/>
  <c r="E21" i="1"/>
  <c r="D21" i="1"/>
  <c r="C21" i="1"/>
  <c r="AS19" i="1"/>
  <c r="AR19" i="1"/>
  <c r="AQ19" i="1"/>
  <c r="AP19" i="1"/>
  <c r="AN19" i="1"/>
  <c r="AI19" i="1"/>
  <c r="AH19" i="1"/>
  <c r="AG19" i="1"/>
  <c r="AE19" i="1"/>
  <c r="AD19" i="1"/>
  <c r="AC19" i="1"/>
  <c r="AA19" i="1"/>
  <c r="Z19" i="1"/>
  <c r="Y19" i="1"/>
  <c r="X19" i="1"/>
  <c r="W19" i="1"/>
  <c r="V19" i="1"/>
  <c r="U19" i="1"/>
  <c r="T19" i="1"/>
  <c r="S19" i="1"/>
  <c r="R19" i="1"/>
  <c r="Q19" i="1"/>
  <c r="P19" i="1"/>
  <c r="O19" i="1"/>
  <c r="N19" i="1"/>
  <c r="M19" i="1"/>
  <c r="L19" i="1"/>
  <c r="K19" i="1"/>
  <c r="J19" i="1"/>
  <c r="I19" i="1"/>
  <c r="H19" i="1"/>
  <c r="G19" i="1"/>
  <c r="F19" i="1"/>
  <c r="E19" i="1"/>
  <c r="D19" i="1"/>
  <c r="C19" i="1"/>
  <c r="AS18" i="1"/>
  <c r="AR18" i="1"/>
  <c r="AQ18" i="1"/>
  <c r="AP18" i="1"/>
  <c r="AN18" i="1"/>
  <c r="AI18" i="1"/>
  <c r="AH18" i="1"/>
  <c r="AG18" i="1"/>
  <c r="AE18" i="1"/>
  <c r="AD18" i="1"/>
  <c r="AC18" i="1"/>
  <c r="AA18" i="1"/>
  <c r="Z18" i="1"/>
  <c r="Y18" i="1"/>
  <c r="X18" i="1"/>
  <c r="W18" i="1"/>
  <c r="V18" i="1"/>
  <c r="U18" i="1"/>
  <c r="T18" i="1"/>
  <c r="S18" i="1"/>
  <c r="R18" i="1"/>
  <c r="Q18" i="1"/>
  <c r="P18" i="1"/>
  <c r="O18" i="1"/>
  <c r="N18" i="1"/>
  <c r="M18" i="1"/>
  <c r="L18" i="1"/>
  <c r="K18" i="1"/>
  <c r="J18" i="1"/>
  <c r="I18" i="1"/>
  <c r="H18" i="1"/>
  <c r="G18" i="1"/>
  <c r="F18" i="1"/>
  <c r="E18" i="1"/>
  <c r="D18" i="1"/>
  <c r="C18" i="1"/>
  <c r="AN16" i="1"/>
  <c r="AI16" i="1"/>
  <c r="AH16" i="1"/>
  <c r="AG16" i="1"/>
  <c r="AE16" i="1"/>
  <c r="AD16" i="1"/>
  <c r="AC16" i="1"/>
  <c r="AA16" i="1"/>
  <c r="Z16" i="1"/>
  <c r="Y16" i="1"/>
  <c r="W16" i="1"/>
  <c r="V16" i="1"/>
  <c r="U16" i="1"/>
  <c r="T16" i="1"/>
  <c r="S16" i="1"/>
  <c r="S75" i="1" s="1"/>
  <c r="R16" i="1"/>
  <c r="Q16" i="1"/>
  <c r="P16" i="1"/>
  <c r="O16" i="1"/>
  <c r="N16" i="1"/>
  <c r="M16" i="1"/>
  <c r="M75" i="1" s="1"/>
  <c r="L16" i="1"/>
  <c r="K16" i="1"/>
  <c r="J16" i="1"/>
  <c r="I16" i="1"/>
  <c r="H16" i="1"/>
  <c r="G16" i="1"/>
  <c r="G75" i="1" s="1"/>
  <c r="F16" i="1"/>
  <c r="F75" i="1" s="1"/>
  <c r="E16" i="1"/>
  <c r="E75" i="1" s="1"/>
  <c r="D16" i="1"/>
  <c r="C16" i="1"/>
  <c r="AN15" i="1"/>
  <c r="AI15" i="1"/>
  <c r="AI17" i="1" s="1"/>
  <c r="AI20" i="1" s="1"/>
  <c r="AH15" i="1"/>
  <c r="L15" i="1"/>
  <c r="L17" i="1" s="1"/>
  <c r="L20" i="1" s="1"/>
  <c r="K15" i="1"/>
  <c r="J15" i="1"/>
  <c r="AN12" i="1"/>
  <c r="AI12" i="1"/>
  <c r="X12" i="1"/>
  <c r="U12" i="1"/>
  <c r="T12" i="1"/>
  <c r="S12" i="1"/>
  <c r="R12" i="1"/>
  <c r="Q12" i="1"/>
  <c r="P12" i="1"/>
  <c r="O12" i="1"/>
  <c r="N12" i="1"/>
  <c r="M12" i="1"/>
  <c r="L12" i="1"/>
  <c r="K12" i="1"/>
  <c r="J12" i="1"/>
  <c r="G12" i="1"/>
  <c r="F12" i="1"/>
  <c r="E12" i="1"/>
  <c r="C12" i="1"/>
  <c r="AN9" i="1"/>
  <c r="AM9" i="1"/>
  <c r="AL9" i="1"/>
  <c r="AK9" i="1"/>
  <c r="AJ9" i="1"/>
  <c r="AI9" i="1"/>
  <c r="AH9" i="1"/>
  <c r="AG9" i="1"/>
  <c r="AE9" i="1"/>
  <c r="AD9" i="1"/>
  <c r="AC9" i="1"/>
  <c r="Z9" i="1"/>
  <c r="L9" i="1"/>
  <c r="K9" i="1"/>
  <c r="J9" i="1"/>
  <c r="AF9" i="1" s="1"/>
  <c r="A9" i="1"/>
  <c r="AN8" i="1"/>
  <c r="AL8" i="1"/>
  <c r="AJ8" i="1"/>
  <c r="AI8" i="1"/>
  <c r="AH8" i="1"/>
  <c r="AG8" i="1"/>
  <c r="AF8" i="1"/>
  <c r="AE8" i="1"/>
  <c r="AD8" i="1"/>
  <c r="AC8" i="1"/>
  <c r="Z8" i="1"/>
  <c r="L8" i="1"/>
  <c r="K8" i="1"/>
  <c r="J8" i="1"/>
  <c r="V7" i="1"/>
  <c r="U7" i="1"/>
  <c r="T7" i="1"/>
  <c r="S7" i="1"/>
  <c r="R7" i="1"/>
  <c r="Q7" i="1"/>
  <c r="P7" i="1"/>
  <c r="O7" i="1"/>
  <c r="N7" i="1"/>
  <c r="M7" i="1"/>
  <c r="AS6" i="1"/>
  <c r="AR6" i="1"/>
  <c r="AQ6" i="1"/>
  <c r="AQ7" i="1" s="1"/>
  <c r="AP6" i="1"/>
  <c r="AO6" i="1"/>
  <c r="AN6" i="1"/>
  <c r="AI6" i="1"/>
  <c r="AH6" i="1"/>
  <c r="AG6" i="1"/>
  <c r="AE6" i="1"/>
  <c r="AD6" i="1"/>
  <c r="AC6" i="1"/>
  <c r="AA6" i="1"/>
  <c r="Z6" i="1"/>
  <c r="Y6" i="1"/>
  <c r="X6" i="1"/>
  <c r="W6" i="1"/>
  <c r="L6" i="1"/>
  <c r="K6" i="1"/>
  <c r="J6" i="1"/>
  <c r="I6" i="1"/>
  <c r="G6" i="1"/>
  <c r="G7" i="1" s="1"/>
  <c r="AS5" i="1"/>
  <c r="AS7" i="1" s="1"/>
  <c r="AR5" i="1"/>
  <c r="AQ5" i="1"/>
  <c r="AP5" i="1"/>
  <c r="AI5" i="1"/>
  <c r="AH5" i="1"/>
  <c r="AG5" i="1"/>
  <c r="AG7" i="1" s="1"/>
  <c r="AE5" i="1"/>
  <c r="AD5" i="1"/>
  <c r="AC5" i="1"/>
  <c r="AC7" i="1" s="1"/>
  <c r="AA5" i="1"/>
  <c r="Z5" i="1"/>
  <c r="Y5" i="1"/>
  <c r="X5" i="1"/>
  <c r="W5" i="1"/>
  <c r="L5" i="1"/>
  <c r="K5" i="1"/>
  <c r="J5" i="1"/>
  <c r="I5" i="1"/>
  <c r="G5" i="1"/>
  <c r="F5" i="1"/>
  <c r="F7" i="1" s="1"/>
  <c r="E5" i="1"/>
  <c r="E7" i="1" s="1"/>
  <c r="D5" i="1"/>
  <c r="D7" i="1" s="1"/>
  <c r="C5" i="1"/>
  <c r="C7" i="1" s="1"/>
  <c r="AO4" i="1"/>
  <c r="J4" i="1"/>
  <c r="I4" i="1"/>
  <c r="H4" i="1"/>
  <c r="I36" i="1" l="1"/>
  <c r="X37" i="1"/>
  <c r="AF38" i="1"/>
  <c r="AJ38" i="1"/>
  <c r="X39" i="1"/>
  <c r="AB37" i="1"/>
  <c r="AI36" i="1"/>
  <c r="AB39" i="1"/>
  <c r="AJ39" i="1"/>
  <c r="D46" i="1"/>
  <c r="N46" i="1"/>
  <c r="R46" i="1"/>
  <c r="V46" i="1"/>
  <c r="V48" i="1" s="1"/>
  <c r="V53" i="1" s="1"/>
  <c r="K17" i="1"/>
  <c r="K20" i="1" s="1"/>
  <c r="AJ25" i="1"/>
  <c r="AB34" i="1"/>
  <c r="AB25" i="1"/>
  <c r="AK25" i="1" s="1"/>
  <c r="AF46" i="1"/>
  <c r="X46" i="1"/>
  <c r="AC46" i="1"/>
  <c r="AH46" i="1"/>
  <c r="AH48" i="1" s="1"/>
  <c r="AC50" i="1"/>
  <c r="H5" i="1"/>
  <c r="AB16" i="1"/>
  <c r="AK16" i="1" s="1"/>
  <c r="AF18" i="1"/>
  <c r="AM18" i="1" s="1"/>
  <c r="AF19" i="1"/>
  <c r="AF21" i="1"/>
  <c r="AB22" i="1"/>
  <c r="AK22" i="1" s="1"/>
  <c r="AL37" i="1"/>
  <c r="P38" i="1"/>
  <c r="AL39" i="1"/>
  <c r="U46" i="1"/>
  <c r="Y46" i="1"/>
  <c r="Y48" i="1" s="1"/>
  <c r="Y53" i="1" s="1"/>
  <c r="AD46" i="1"/>
  <c r="AN17" i="1"/>
  <c r="AN20" i="1" s="1"/>
  <c r="AF16" i="1"/>
  <c r="AM16" i="1" s="1"/>
  <c r="AF22" i="1"/>
  <c r="AM22" i="1" s="1"/>
  <c r="V25" i="1"/>
  <c r="AL25" i="1"/>
  <c r="H46" i="1"/>
  <c r="AE46" i="1"/>
  <c r="AE72" i="1" s="1"/>
  <c r="AN46" i="1"/>
  <c r="K50" i="1"/>
  <c r="AI7" i="1"/>
  <c r="AL16" i="1"/>
  <c r="AL18" i="1"/>
  <c r="AL22" i="1"/>
  <c r="AF34" i="1"/>
  <c r="P37" i="1"/>
  <c r="AF37" i="1"/>
  <c r="X38" i="1"/>
  <c r="P39" i="1"/>
  <c r="AF39" i="1"/>
  <c r="AM39" i="1" s="1"/>
  <c r="W46" i="1"/>
  <c r="AA46" i="1"/>
  <c r="AG46" i="1"/>
  <c r="AG48" i="1" s="1"/>
  <c r="I50" i="1"/>
  <c r="AE50" i="1"/>
  <c r="X16" i="1"/>
  <c r="AJ16" i="1"/>
  <c r="AB18" i="1"/>
  <c r="AK18" i="1" s="1"/>
  <c r="AB21" i="1"/>
  <c r="AK21" i="1" s="1"/>
  <c r="V22" i="1"/>
  <c r="AJ22" i="1"/>
  <c r="AF25" i="1"/>
  <c r="AL29" i="1"/>
  <c r="W50" i="1"/>
  <c r="K7" i="1"/>
  <c r="AF5" i="1"/>
  <c r="AM5" i="1" s="1"/>
  <c r="AL6" i="1"/>
  <c r="AJ21" i="1"/>
  <c r="AL34" i="1"/>
  <c r="AC36" i="1"/>
  <c r="AF62" i="1"/>
  <c r="AN68" i="1"/>
  <c r="AK62" i="1"/>
  <c r="AE7" i="1"/>
  <c r="AL60" i="1"/>
  <c r="AF61" i="1"/>
  <c r="AN61" i="1"/>
  <c r="AK65" i="1"/>
  <c r="AA7" i="1"/>
  <c r="AL19" i="1"/>
  <c r="AL21" i="1"/>
  <c r="AN38" i="1"/>
  <c r="AL67" i="1"/>
  <c r="AJ5" i="1"/>
  <c r="AL5" i="1"/>
  <c r="Y7" i="1"/>
  <c r="K40" i="1"/>
  <c r="AJ37" i="1"/>
  <c r="AJ61" i="1"/>
  <c r="AL61" i="1"/>
  <c r="AJ65" i="1"/>
  <c r="AL65" i="1"/>
  <c r="AM68" i="1"/>
  <c r="AO5" i="1"/>
  <c r="AO7" i="1" s="1"/>
  <c r="AJ18" i="1"/>
  <c r="AB49" i="1"/>
  <c r="AB50" i="1" s="1"/>
  <c r="AN62" i="1"/>
  <c r="AJ67" i="1"/>
  <c r="I7" i="1"/>
  <c r="W7" i="1"/>
  <c r="AJ34" i="1"/>
  <c r="X36" i="1"/>
  <c r="AN37" i="1"/>
  <c r="AN39" i="1"/>
  <c r="AK61" i="1"/>
  <c r="AL62" i="1"/>
  <c r="AM67" i="1"/>
  <c r="AN5" i="1"/>
  <c r="AN7" i="1" s="1"/>
  <c r="AJ19" i="1"/>
  <c r="AN65" i="1"/>
  <c r="AJ66" i="1"/>
  <c r="AJ68" i="1"/>
  <c r="L27" i="1"/>
  <c r="L24" i="1"/>
  <c r="L26" i="1" s="1"/>
  <c r="AM25" i="1"/>
  <c r="H6" i="1"/>
  <c r="H7" i="1" s="1"/>
  <c r="L7" i="1"/>
  <c r="Z7" i="1"/>
  <c r="AD7" i="1"/>
  <c r="AH7" i="1"/>
  <c r="AR7" i="1"/>
  <c r="AH58" i="1"/>
  <c r="AH59" i="1" s="1"/>
  <c r="AH35" i="1"/>
  <c r="AH17" i="1"/>
  <c r="AH20" i="1" s="1"/>
  <c r="AH28" i="1" s="1"/>
  <c r="AM19" i="1"/>
  <c r="L28" i="1"/>
  <c r="J58" i="1"/>
  <c r="J35" i="1"/>
  <c r="J17" i="1"/>
  <c r="J20" i="1" s="1"/>
  <c r="J28" i="1" s="1"/>
  <c r="AI27" i="1"/>
  <c r="AI24" i="1"/>
  <c r="AI26" i="1" s="1"/>
  <c r="J7" i="1"/>
  <c r="X7" i="1"/>
  <c r="AF6" i="1"/>
  <c r="AF7" i="1" s="1"/>
  <c r="AJ6" i="1"/>
  <c r="AJ7" i="1" s="1"/>
  <c r="AP7" i="1"/>
  <c r="K27" i="1"/>
  <c r="K24" i="1"/>
  <c r="K26" i="1" s="1"/>
  <c r="AN27" i="1"/>
  <c r="AN24" i="1"/>
  <c r="AN26" i="1" s="1"/>
  <c r="K28" i="1"/>
  <c r="AI28" i="1"/>
  <c r="AM21" i="1"/>
  <c r="AK23" i="1"/>
  <c r="AK40" i="1" s="1"/>
  <c r="AM34" i="1"/>
  <c r="AM38" i="1"/>
  <c r="AN28" i="1"/>
  <c r="AL23" i="1"/>
  <c r="AL40" i="1" s="1"/>
  <c r="AK34" i="1"/>
  <c r="K37" i="1"/>
  <c r="K39" i="1"/>
  <c r="AK39" i="1"/>
  <c r="K58" i="1"/>
  <c r="K59" i="1" s="1"/>
  <c r="K35" i="1"/>
  <c r="AI58" i="1"/>
  <c r="AI59" i="1" s="1"/>
  <c r="AI35" i="1"/>
  <c r="AF29" i="1"/>
  <c r="AM29" i="1" s="1"/>
  <c r="W29" i="1"/>
  <c r="X29" i="1" s="1"/>
  <c r="L58" i="1"/>
  <c r="L59" i="1" s="1"/>
  <c r="L35" i="1"/>
  <c r="AN58" i="1"/>
  <c r="AN35" i="1"/>
  <c r="AB19" i="1"/>
  <c r="AK19" i="1" s="1"/>
  <c r="AF23" i="1"/>
  <c r="AF40" i="1" s="1"/>
  <c r="AJ23" i="1"/>
  <c r="AJ40" i="1" s="1"/>
  <c r="Z29" i="1"/>
  <c r="AA29" i="1" s="1"/>
  <c r="AK37" i="1"/>
  <c r="E46" i="1"/>
  <c r="F72" i="1" s="1"/>
  <c r="F71" i="1" s="1"/>
  <c r="I46" i="1"/>
  <c r="AB44" i="1"/>
  <c r="N72" i="1"/>
  <c r="N48" i="1"/>
  <c r="N53" i="1" s="1"/>
  <c r="R72" i="1"/>
  <c r="R48" i="1"/>
  <c r="R53" i="1" s="1"/>
  <c r="AJ46" i="1"/>
  <c r="AF50" i="1"/>
  <c r="AM49" i="1"/>
  <c r="R54" i="1"/>
  <c r="AJ50" i="1"/>
  <c r="AL50" i="1"/>
  <c r="AL38" i="1"/>
  <c r="AL36" i="1" s="1"/>
  <c r="F48" i="1"/>
  <c r="F53" i="1" s="1"/>
  <c r="AF48" i="1"/>
  <c r="AF53" i="1" s="1"/>
  <c r="O72" i="1"/>
  <c r="O73" i="1" s="1"/>
  <c r="O48" i="1"/>
  <c r="O53" i="1" s="1"/>
  <c r="S72" i="1"/>
  <c r="S48" i="1"/>
  <c r="S53" i="1" s="1"/>
  <c r="W48" i="1"/>
  <c r="W53" i="1" s="1"/>
  <c r="AA48" i="1"/>
  <c r="AA53" i="1" s="1"/>
  <c r="AG72" i="1"/>
  <c r="AG71" i="1" s="1"/>
  <c r="AM44" i="1"/>
  <c r="AM46" i="1" s="1"/>
  <c r="J36" i="1"/>
  <c r="AD36" i="1"/>
  <c r="AH36" i="1"/>
  <c r="C46" i="1"/>
  <c r="D72" i="1" s="1"/>
  <c r="G46" i="1"/>
  <c r="K44" i="1"/>
  <c r="K46" i="1" s="1"/>
  <c r="P72" i="1"/>
  <c r="P48" i="1"/>
  <c r="P53" i="1" s="1"/>
  <c r="T72" i="1"/>
  <c r="T48" i="1"/>
  <c r="T53" i="1" s="1"/>
  <c r="X48" i="1"/>
  <c r="X53" i="1" s="1"/>
  <c r="AC48" i="1"/>
  <c r="AC53" i="1" s="1"/>
  <c r="AN48" i="1"/>
  <c r="AN53" i="1" s="1"/>
  <c r="L38" i="1"/>
  <c r="AB38" i="1"/>
  <c r="AK38" i="1" s="1"/>
  <c r="D48" i="1"/>
  <c r="D53" i="1" s="1"/>
  <c r="H72" i="1"/>
  <c r="H48" i="1"/>
  <c r="H53" i="1" s="1"/>
  <c r="M48" i="1"/>
  <c r="M53" i="1" s="1"/>
  <c r="Q72" i="1"/>
  <c r="Q48" i="1"/>
  <c r="Q53" i="1" s="1"/>
  <c r="U72" i="1"/>
  <c r="U71" i="1" s="1"/>
  <c r="U48" i="1"/>
  <c r="U53" i="1" s="1"/>
  <c r="Y72" i="1"/>
  <c r="Y71" i="1" s="1"/>
  <c r="AD72" i="1"/>
  <c r="AD71" i="1" s="1"/>
  <c r="AD48" i="1"/>
  <c r="AD53" i="1" s="1"/>
  <c r="L44" i="1"/>
  <c r="L46" i="1" s="1"/>
  <c r="AI46" i="1"/>
  <c r="M54" i="1"/>
  <c r="U54" i="1"/>
  <c r="AL44" i="1"/>
  <c r="AL46" i="1" s="1"/>
  <c r="J46" i="1"/>
  <c r="Z46" i="1"/>
  <c r="AA72" i="1" s="1"/>
  <c r="AA71" i="1" s="1"/>
  <c r="AK49" i="1"/>
  <c r="F50" i="1"/>
  <c r="J50" i="1"/>
  <c r="Z50" i="1"/>
  <c r="AD50" i="1"/>
  <c r="AH50" i="1"/>
  <c r="T61" i="1"/>
  <c r="S64" i="1"/>
  <c r="S70" i="1" s="1"/>
  <c r="AM62" i="1"/>
  <c r="I75" i="1"/>
  <c r="N75" i="1"/>
  <c r="W75" i="1"/>
  <c r="AA75" i="1"/>
  <c r="AK67" i="1"/>
  <c r="T60" i="1"/>
  <c r="J75" i="1"/>
  <c r="O75" i="1"/>
  <c r="X75" i="1"/>
  <c r="AB75" i="1"/>
  <c r="AG75" i="1"/>
  <c r="AM66" i="1"/>
  <c r="L50" i="1"/>
  <c r="AN50" i="1"/>
  <c r="P61" i="1"/>
  <c r="O64" i="1"/>
  <c r="O70" i="1" s="1"/>
  <c r="K75" i="1"/>
  <c r="Q75" i="1"/>
  <c r="Y75" i="1"/>
  <c r="AC75" i="1"/>
  <c r="AH75" i="1"/>
  <c r="AK68" i="1"/>
  <c r="AM61" i="1"/>
  <c r="H75" i="1"/>
  <c r="L75" i="1"/>
  <c r="U75" i="1"/>
  <c r="Z75" i="1"/>
  <c r="AD75" i="1"/>
  <c r="AI75" i="1"/>
  <c r="X60" i="1"/>
  <c r="AB60" i="1"/>
  <c r="AF60" i="1"/>
  <c r="AM60" i="1" s="1"/>
  <c r="AJ60" i="1"/>
  <c r="AN60" i="1"/>
  <c r="AF63" i="1"/>
  <c r="AF75" i="1" s="1"/>
  <c r="AJ63" i="1"/>
  <c r="AJ75" i="1" s="1"/>
  <c r="AN63" i="1"/>
  <c r="AN75" i="1" s="1"/>
  <c r="I64" i="1"/>
  <c r="I70" i="1" s="1"/>
  <c r="Q64" i="1"/>
  <c r="Q70" i="1" s="1"/>
  <c r="AC64" i="1"/>
  <c r="AC70" i="1" s="1"/>
  <c r="P63" i="1"/>
  <c r="P75" i="1" s="1"/>
  <c r="AK63" i="1"/>
  <c r="J64" i="1"/>
  <c r="N64" i="1"/>
  <c r="N70" i="1" s="1"/>
  <c r="AF65" i="1"/>
  <c r="AM65" i="1" s="1"/>
  <c r="AE75" i="1"/>
  <c r="V63" i="1"/>
  <c r="V75" i="1" s="1"/>
  <c r="AL63" i="1"/>
  <c r="K64" i="1"/>
  <c r="K70" i="1" s="1"/>
  <c r="AE64" i="1"/>
  <c r="AE70" i="1" s="1"/>
  <c r="R63" i="1"/>
  <c r="R64" i="1" s="1"/>
  <c r="R70" i="1" s="1"/>
  <c r="H64" i="1"/>
  <c r="H70" i="1" s="1"/>
  <c r="L64" i="1"/>
  <c r="L70" i="1" s="1"/>
  <c r="AH53" i="1" l="1"/>
  <c r="AH54" i="1"/>
  <c r="AF72" i="1"/>
  <c r="L39" i="1"/>
  <c r="V72" i="1"/>
  <c r="M72" i="1"/>
  <c r="M71" i="1" s="1"/>
  <c r="AE48" i="1"/>
  <c r="AJ36" i="1"/>
  <c r="AL75" i="1"/>
  <c r="S54" i="1"/>
  <c r="W72" i="1"/>
  <c r="W71" i="1" s="1"/>
  <c r="AG53" i="1"/>
  <c r="AG54" i="1"/>
  <c r="AK75" i="1"/>
  <c r="AL7" i="1"/>
  <c r="AF36" i="1"/>
  <c r="AH72" i="1"/>
  <c r="AH71" i="1" s="1"/>
  <c r="X72" i="1"/>
  <c r="W54" i="1"/>
  <c r="U73" i="1"/>
  <c r="N54" i="1"/>
  <c r="L37" i="1"/>
  <c r="P54" i="1"/>
  <c r="O54" i="1"/>
  <c r="AM37" i="1"/>
  <c r="AM36" i="1" s="1"/>
  <c r="AF54" i="1"/>
  <c r="D54" i="1"/>
  <c r="D74" i="1" s="1"/>
  <c r="AN36" i="1"/>
  <c r="AN41" i="1" s="1"/>
  <c r="AN54" i="1"/>
  <c r="S71" i="1"/>
  <c r="N71" i="1"/>
  <c r="Y73" i="1"/>
  <c r="AJ29" i="1"/>
  <c r="P64" i="1"/>
  <c r="P70" i="1" s="1"/>
  <c r="P71" i="1" s="1"/>
  <c r="Y54" i="1"/>
  <c r="H71" i="1"/>
  <c r="T54" i="1"/>
  <c r="F54" i="1"/>
  <c r="F74" i="1" s="1"/>
  <c r="AB29" i="1"/>
  <c r="AK29" i="1" s="1"/>
  <c r="AB64" i="1"/>
  <c r="AB70" i="1" s="1"/>
  <c r="AK60" i="1"/>
  <c r="J72" i="1"/>
  <c r="J48" i="1"/>
  <c r="AL72" i="1"/>
  <c r="AL48" i="1"/>
  <c r="Q71" i="1"/>
  <c r="N73" i="1"/>
  <c r="AM72" i="1"/>
  <c r="AM48" i="1"/>
  <c r="AM53" i="1" s="1"/>
  <c r="R71" i="1"/>
  <c r="M73" i="1"/>
  <c r="E72" i="1"/>
  <c r="E71" i="1" s="1"/>
  <c r="E48" i="1"/>
  <c r="AB36" i="1"/>
  <c r="AI41" i="1"/>
  <c r="AI42" i="1" s="1"/>
  <c r="AI31" i="1"/>
  <c r="J27" i="1"/>
  <c r="J24" i="1"/>
  <c r="J26" i="1" s="1"/>
  <c r="AH27" i="1"/>
  <c r="AH24" i="1"/>
  <c r="AH26" i="1" s="1"/>
  <c r="J70" i="1"/>
  <c r="AF70" i="1" s="1"/>
  <c r="AF64" i="1"/>
  <c r="O71" i="1"/>
  <c r="L31" i="1"/>
  <c r="AN64" i="1"/>
  <c r="AN70" i="1" s="1"/>
  <c r="AN59" i="1"/>
  <c r="AJ64" i="1"/>
  <c r="AJ70" i="1" s="1"/>
  <c r="V64" i="1"/>
  <c r="V70" i="1" s="1"/>
  <c r="V71" i="1" s="1"/>
  <c r="AK50" i="1"/>
  <c r="Q54" i="1"/>
  <c r="AI72" i="1"/>
  <c r="AI71" i="1" s="1"/>
  <c r="AI48" i="1"/>
  <c r="V73" i="1"/>
  <c r="R73" i="1"/>
  <c r="AN72" i="1"/>
  <c r="AN71" i="1" s="1"/>
  <c r="K72" i="1"/>
  <c r="K71" i="1" s="1"/>
  <c r="K48" i="1"/>
  <c r="AA54" i="1"/>
  <c r="P73" i="1"/>
  <c r="AM54" i="1"/>
  <c r="AM50" i="1"/>
  <c r="W73" i="1"/>
  <c r="S73" i="1"/>
  <c r="K38" i="1"/>
  <c r="K36" i="1" s="1"/>
  <c r="K41" i="1" s="1"/>
  <c r="K42" i="1" s="1"/>
  <c r="K31" i="1"/>
  <c r="C72" i="1"/>
  <c r="C48" i="1"/>
  <c r="AJ72" i="1"/>
  <c r="AJ71" i="1" s="1"/>
  <c r="AJ48" i="1"/>
  <c r="I72" i="1"/>
  <c r="I71" i="1" s="1"/>
  <c r="I48" i="1"/>
  <c r="X64" i="1"/>
  <c r="X70" i="1" s="1"/>
  <c r="X71" i="1" s="1"/>
  <c r="R75" i="1"/>
  <c r="T63" i="1"/>
  <c r="T75" i="1" s="1"/>
  <c r="AM63" i="1"/>
  <c r="AM75" i="1" s="1"/>
  <c r="AL64" i="1"/>
  <c r="AL70" i="1" s="1"/>
  <c r="AD54" i="1"/>
  <c r="Z72" i="1"/>
  <c r="Z73" i="1" s="1"/>
  <c r="Z48" i="1"/>
  <c r="AC54" i="1"/>
  <c r="L72" i="1"/>
  <c r="L71" i="1" s="1"/>
  <c r="L48" i="1"/>
  <c r="X54" i="1"/>
  <c r="H54" i="1"/>
  <c r="H74" i="1" s="1"/>
  <c r="AH73" i="1"/>
  <c r="Q73" i="1"/>
  <c r="G72" i="1"/>
  <c r="G71" i="1" s="1"/>
  <c r="G48" i="1"/>
  <c r="X73" i="1"/>
  <c r="T73" i="1"/>
  <c r="V54" i="1"/>
  <c r="AE71" i="1"/>
  <c r="AB46" i="1"/>
  <c r="AK44" i="1"/>
  <c r="AK46" i="1" s="1"/>
  <c r="AK36" i="1"/>
  <c r="AM23" i="1"/>
  <c r="AM40" i="1" s="1"/>
  <c r="AM6" i="1"/>
  <c r="AM7" i="1" s="1"/>
  <c r="J59" i="1"/>
  <c r="L36" i="1" l="1"/>
  <c r="L41" i="1" s="1"/>
  <c r="L42" i="1" s="1"/>
  <c r="AE53" i="1"/>
  <c r="AE54" i="1"/>
  <c r="AA73" i="1"/>
  <c r="AL71" i="1"/>
  <c r="T64" i="1"/>
  <c r="T70" i="1" s="1"/>
  <c r="T71" i="1" s="1"/>
  <c r="J71" i="1"/>
  <c r="G53" i="1"/>
  <c r="G54" i="1"/>
  <c r="G74" i="1" s="1"/>
  <c r="AK72" i="1"/>
  <c r="AK48" i="1"/>
  <c r="AJ53" i="1"/>
  <c r="AJ54" i="1"/>
  <c r="K53" i="1"/>
  <c r="K54" i="1"/>
  <c r="K74" i="1" s="1"/>
  <c r="E53" i="1"/>
  <c r="E54" i="1"/>
  <c r="E74" i="1" s="1"/>
  <c r="J53" i="1"/>
  <c r="J54" i="1"/>
  <c r="J74" i="1" s="1"/>
  <c r="AB72" i="1"/>
  <c r="AB73" i="1" s="1"/>
  <c r="AB48" i="1"/>
  <c r="AC72" i="1"/>
  <c r="AC71" i="1" s="1"/>
  <c r="AH41" i="1"/>
  <c r="AH42" i="1" s="1"/>
  <c r="AH31" i="1"/>
  <c r="Z53" i="1"/>
  <c r="Z54" i="1"/>
  <c r="L53" i="1"/>
  <c r="L54" i="1"/>
  <c r="L74" i="1" s="1"/>
  <c r="Z71" i="1"/>
  <c r="I53" i="1"/>
  <c r="I54" i="1"/>
  <c r="I74" i="1" s="1"/>
  <c r="C53" i="1"/>
  <c r="C54" i="1"/>
  <c r="AI53" i="1"/>
  <c r="AI54" i="1"/>
  <c r="AL53" i="1"/>
  <c r="AL54" i="1"/>
  <c r="J41" i="1"/>
  <c r="J42" i="1" s="1"/>
  <c r="J31" i="1"/>
  <c r="AK64" i="1"/>
  <c r="AK70" i="1" s="1"/>
  <c r="AM64" i="1"/>
  <c r="AM70" i="1" s="1"/>
  <c r="AM71" i="1" s="1"/>
  <c r="AF71" i="1" l="1"/>
  <c r="AD73" i="1"/>
  <c r="AG73" i="1"/>
  <c r="AB53" i="1"/>
  <c r="AB54" i="1"/>
  <c r="AB71" i="1"/>
  <c r="AF73" i="1"/>
  <c r="AC73" i="1"/>
  <c r="AK53" i="1"/>
  <c r="AK54" i="1"/>
  <c r="AK71" i="1"/>
  <c r="AH12" i="1" l="1"/>
  <c r="AG12" i="1" l="1"/>
  <c r="AO30" i="1" l="1"/>
  <c r="AR15" i="1" l="1"/>
  <c r="AO15" i="1"/>
  <c r="AQ12" i="1" l="1"/>
  <c r="AP15" i="1"/>
  <c r="AO16" i="1"/>
  <c r="AS16" i="1"/>
  <c r="AO34" i="1"/>
  <c r="AS34" i="1"/>
  <c r="AO46" i="1"/>
  <c r="AO50" i="1"/>
  <c r="AO61" i="1"/>
  <c r="AR12" i="1"/>
  <c r="AQ15" i="1"/>
  <c r="AP16" i="1"/>
  <c r="AO18" i="1"/>
  <c r="AO29" i="1"/>
  <c r="AP34" i="1"/>
  <c r="AO47" i="1"/>
  <c r="AO51" i="1"/>
  <c r="AO63" i="1"/>
  <c r="AO75" i="1" s="1"/>
  <c r="AO12" i="1"/>
  <c r="AS12" i="1"/>
  <c r="AQ16" i="1"/>
  <c r="AO19" i="1"/>
  <c r="AQ34" i="1"/>
  <c r="AO52" i="1"/>
  <c r="AO67" i="1"/>
  <c r="AP12" i="1"/>
  <c r="AO35" i="1"/>
  <c r="AO17" i="1"/>
  <c r="AS15" i="1"/>
  <c r="AR16" i="1"/>
  <c r="AR17" i="1" s="1"/>
  <c r="AR20" i="1" s="1"/>
  <c r="AO21" i="1"/>
  <c r="AO22" i="1"/>
  <c r="AO25" i="1"/>
  <c r="AR34" i="1"/>
  <c r="AR35" i="1" s="1"/>
  <c r="AO42" i="1"/>
  <c r="AO49" i="1"/>
  <c r="AO59" i="1"/>
  <c r="AO68" i="1"/>
  <c r="AO58" i="1"/>
  <c r="AO66" i="1"/>
  <c r="AR27" i="1" l="1"/>
  <c r="AR24" i="1"/>
  <c r="AR26" i="1" s="1"/>
  <c r="AR28" i="1"/>
  <c r="AS21" i="1"/>
  <c r="AO65" i="1"/>
  <c r="AO20" i="1"/>
  <c r="AO24" i="1" s="1"/>
  <c r="AO26" i="1" s="1"/>
  <c r="AO41" i="1" s="1"/>
  <c r="AP35" i="1"/>
  <c r="AP17" i="1"/>
  <c r="AP20" i="1" s="1"/>
  <c r="AS22" i="1"/>
  <c r="AS35" i="1"/>
  <c r="AS17" i="1"/>
  <c r="AS20" i="1" s="1"/>
  <c r="AQ35" i="1"/>
  <c r="AQ17" i="1"/>
  <c r="AQ20" i="1" s="1"/>
  <c r="AO48" i="1"/>
  <c r="AO53" i="1" s="1"/>
  <c r="AO54" i="1"/>
  <c r="AO60" i="1"/>
  <c r="AO74" i="1" s="1"/>
  <c r="AS24" i="1" l="1"/>
  <c r="AS26" i="1" s="1"/>
  <c r="AQ28" i="1"/>
  <c r="AQ27" i="1"/>
  <c r="AQ24" i="1"/>
  <c r="AQ26" i="1" s="1"/>
  <c r="AO28" i="1"/>
  <c r="AP28" i="1"/>
  <c r="AP27" i="1"/>
  <c r="AP24" i="1"/>
  <c r="AP26" i="1" s="1"/>
  <c r="AO27" i="1"/>
  <c r="AS27" i="1"/>
  <c r="AS28" i="1"/>
  <c r="AO64" i="1"/>
  <c r="AO70" i="1" l="1"/>
  <c r="AO72" i="1" l="1"/>
  <c r="AO71" i="1" l="1"/>
  <c r="AE12" i="1" l="1"/>
  <c r="AE15" i="1"/>
  <c r="AE17" i="1" l="1"/>
  <c r="AE20" i="1" s="1"/>
  <c r="AE58" i="1"/>
  <c r="AE59" i="1" s="1"/>
  <c r="AE35" i="1"/>
  <c r="AE27" i="1" l="1"/>
  <c r="AE24" i="1"/>
  <c r="AE26" i="1" s="1"/>
  <c r="AE28" i="1"/>
  <c r="AE41" i="1" l="1"/>
  <c r="AE42" i="1" s="1"/>
  <c r="AE31" i="1"/>
  <c r="S51" i="1" l="1"/>
  <c r="S50" i="1" s="1"/>
  <c r="R51" i="1"/>
  <c r="R50" i="1" s="1"/>
  <c r="Q51" i="1"/>
  <c r="Q50" i="1" s="1"/>
  <c r="G51" i="1" l="1"/>
  <c r="T51" i="1" l="1"/>
  <c r="T50" i="1" s="1"/>
  <c r="G50" i="1"/>
  <c r="AD12" i="1" l="1"/>
  <c r="AC12" i="1" l="1"/>
  <c r="AL12" i="1" l="1"/>
  <c r="AF12" i="1"/>
  <c r="AM12" i="1" s="1"/>
  <c r="W12" i="1" l="1"/>
  <c r="V12" i="1"/>
  <c r="H12" i="1"/>
  <c r="D12" i="1"/>
  <c r="V51" i="1" l="1"/>
  <c r="V50" i="1" s="1"/>
  <c r="AB12" i="1" l="1"/>
  <c r="I12" i="1" l="1"/>
  <c r="C66" i="1" l="1"/>
  <c r="C60" i="1" l="1"/>
  <c r="C74" i="1" l="1"/>
  <c r="E51" i="1" l="1"/>
  <c r="E50" i="1" s="1"/>
  <c r="D63" i="1"/>
  <c r="D75" i="1" s="1"/>
  <c r="U51" i="1" l="1"/>
  <c r="U50" i="1" s="1"/>
  <c r="Y51" i="1"/>
  <c r="Y50" i="1" s="1"/>
  <c r="Y12" i="1" l="1"/>
  <c r="C67" i="1" l="1"/>
  <c r="C65" i="1"/>
  <c r="H51" i="1"/>
  <c r="H50" i="1" s="1"/>
  <c r="D51" i="1"/>
  <c r="D50" i="1" s="1"/>
  <c r="C51" i="1"/>
  <c r="C50" i="1" s="1"/>
  <c r="X51" i="1"/>
  <c r="X50" i="1" s="1"/>
  <c r="P51" i="1"/>
  <c r="P50" i="1" s="1"/>
  <c r="O51" i="1"/>
  <c r="O50" i="1" s="1"/>
  <c r="N51" i="1"/>
  <c r="N50" i="1" s="1"/>
  <c r="M51" i="1"/>
  <c r="M50" i="1" s="1"/>
  <c r="Z12" i="1" l="1"/>
  <c r="AJ12" i="1" s="1"/>
  <c r="AA12" i="1" l="1"/>
  <c r="AK12" i="1" s="1"/>
  <c r="C61" i="1" l="1"/>
  <c r="D61" i="1"/>
  <c r="D64" i="1" s="1"/>
  <c r="D70" i="1" s="1"/>
  <c r="D71" i="1" s="1"/>
  <c r="C63" i="1" l="1"/>
  <c r="C75" i="1" s="1"/>
  <c r="C64" i="1" l="1"/>
  <c r="C70" i="1" s="1"/>
  <c r="C71" i="1" s="1"/>
  <c r="AB6" i="1" l="1"/>
  <c r="AB5" i="1" l="1"/>
  <c r="AK5" i="1" s="1"/>
  <c r="AB7" i="1"/>
  <c r="AK6" i="1"/>
  <c r="AK7" i="1" s="1"/>
  <c r="D15" i="1" l="1"/>
  <c r="D17" i="1" l="1"/>
  <c r="D20" i="1" s="1"/>
  <c r="D58" i="1"/>
  <c r="D59" i="1" s="1"/>
  <c r="D35" i="1"/>
  <c r="C15" i="1"/>
  <c r="Q15" i="1"/>
  <c r="Q35" i="1" l="1"/>
  <c r="Q17" i="1"/>
  <c r="Q20" i="1" s="1"/>
  <c r="Q58" i="1"/>
  <c r="Q59" i="1" s="1"/>
  <c r="C17" i="1"/>
  <c r="C20" i="1" s="1"/>
  <c r="C58" i="1"/>
  <c r="C59" i="1" s="1"/>
  <c r="C35" i="1"/>
  <c r="D24" i="1"/>
  <c r="D26" i="1" s="1"/>
  <c r="D27" i="1"/>
  <c r="D28" i="1" s="1"/>
  <c r="E15" i="1"/>
  <c r="M15" i="1"/>
  <c r="G15" i="1"/>
  <c r="Y15" i="1"/>
  <c r="G17" i="1" l="1"/>
  <c r="G20" i="1" s="1"/>
  <c r="G58" i="1"/>
  <c r="G59" i="1" s="1"/>
  <c r="G35" i="1"/>
  <c r="C27" i="1"/>
  <c r="C28" i="1" s="1"/>
  <c r="C24" i="1"/>
  <c r="C26" i="1" s="1"/>
  <c r="E58" i="1"/>
  <c r="E59" i="1" s="1"/>
  <c r="E35" i="1"/>
  <c r="E17" i="1"/>
  <c r="E20" i="1" s="1"/>
  <c r="D41" i="1"/>
  <c r="D42" i="1" s="1"/>
  <c r="D31" i="1"/>
  <c r="M17" i="1"/>
  <c r="M20" i="1" s="1"/>
  <c r="M58" i="1"/>
  <c r="M59" i="1" s="1"/>
  <c r="M35" i="1"/>
  <c r="Q28" i="1"/>
  <c r="Q24" i="1"/>
  <c r="Q26" i="1" s="1"/>
  <c r="Q27" i="1"/>
  <c r="Y35" i="1"/>
  <c r="Y58" i="1"/>
  <c r="Y59" i="1" s="1"/>
  <c r="Y17" i="1"/>
  <c r="Y20" i="1" s="1"/>
  <c r="T15" i="1"/>
  <c r="U15" i="1"/>
  <c r="Y28" i="1" l="1"/>
  <c r="Y24" i="1"/>
  <c r="Y26" i="1" s="1"/>
  <c r="Y27" i="1"/>
  <c r="E24" i="1"/>
  <c r="E26" i="1" s="1"/>
  <c r="E28" i="1"/>
  <c r="E27" i="1"/>
  <c r="T17" i="1"/>
  <c r="T20" i="1" s="1"/>
  <c r="T58" i="1"/>
  <c r="T59" i="1" s="1"/>
  <c r="T35" i="1"/>
  <c r="Q41" i="1"/>
  <c r="Q42" i="1" s="1"/>
  <c r="Q31" i="1"/>
  <c r="M28" i="1"/>
  <c r="M24" i="1"/>
  <c r="M26" i="1" s="1"/>
  <c r="M27" i="1"/>
  <c r="U58" i="1"/>
  <c r="U59" i="1" s="1"/>
  <c r="U35" i="1"/>
  <c r="U17" i="1"/>
  <c r="U20" i="1" s="1"/>
  <c r="C41" i="1"/>
  <c r="C42" i="1" s="1"/>
  <c r="C31" i="1"/>
  <c r="G27" i="1"/>
  <c r="G24" i="1"/>
  <c r="G26" i="1" s="1"/>
  <c r="G28" i="1"/>
  <c r="N15" i="1"/>
  <c r="I15" i="1"/>
  <c r="AA15" i="1"/>
  <c r="I35" i="1" l="1"/>
  <c r="I58" i="1"/>
  <c r="I59" i="1" s="1"/>
  <c r="I17" i="1"/>
  <c r="I20" i="1" s="1"/>
  <c r="N17" i="1"/>
  <c r="N20" i="1" s="1"/>
  <c r="N58" i="1"/>
  <c r="N59" i="1" s="1"/>
  <c r="N35" i="1"/>
  <c r="E41" i="1"/>
  <c r="E42" i="1" s="1"/>
  <c r="E31" i="1"/>
  <c r="AB15" i="1"/>
  <c r="T24" i="1"/>
  <c r="T26" i="1" s="1"/>
  <c r="T28" i="1"/>
  <c r="T27" i="1"/>
  <c r="AA17" i="1"/>
  <c r="AA20" i="1" s="1"/>
  <c r="AA58" i="1"/>
  <c r="AA59" i="1" s="1"/>
  <c r="AK15" i="1"/>
  <c r="AA35" i="1"/>
  <c r="Y41" i="1"/>
  <c r="Y42" i="1" s="1"/>
  <c r="Y31" i="1"/>
  <c r="Z15" i="1"/>
  <c r="G41" i="1"/>
  <c r="G42" i="1" s="1"/>
  <c r="G31" i="1"/>
  <c r="U27" i="1"/>
  <c r="U28" i="1"/>
  <c r="U24" i="1"/>
  <c r="U26" i="1" s="1"/>
  <c r="M41" i="1"/>
  <c r="M42" i="1" s="1"/>
  <c r="M31" i="1"/>
  <c r="F15" i="1"/>
  <c r="O15" i="1"/>
  <c r="V15" i="1"/>
  <c r="W15" i="1"/>
  <c r="W17" i="1" l="1"/>
  <c r="W20" i="1" s="1"/>
  <c r="W58" i="1"/>
  <c r="W59" i="1" s="1"/>
  <c r="W35" i="1"/>
  <c r="F35" i="1"/>
  <c r="F17" i="1"/>
  <c r="F20" i="1" s="1"/>
  <c r="F58" i="1"/>
  <c r="F59" i="1" s="1"/>
  <c r="AK58" i="1"/>
  <c r="AK59" i="1" s="1"/>
  <c r="AK35" i="1"/>
  <c r="AK17" i="1"/>
  <c r="AK20" i="1" s="1"/>
  <c r="N28" i="1"/>
  <c r="N27" i="1"/>
  <c r="N24" i="1"/>
  <c r="N26" i="1" s="1"/>
  <c r="O17" i="1"/>
  <c r="O20" i="1" s="1"/>
  <c r="O58" i="1"/>
  <c r="O59" i="1" s="1"/>
  <c r="O35" i="1"/>
  <c r="T31" i="1"/>
  <c r="T41" i="1"/>
  <c r="T42" i="1" s="1"/>
  <c r="I28" i="1"/>
  <c r="I24" i="1"/>
  <c r="I26" i="1" s="1"/>
  <c r="I27" i="1"/>
  <c r="V58" i="1"/>
  <c r="V59" i="1" s="1"/>
  <c r="V35" i="1"/>
  <c r="V17" i="1"/>
  <c r="V20" i="1" s="1"/>
  <c r="U41" i="1"/>
  <c r="U42" i="1" s="1"/>
  <c r="U31" i="1"/>
  <c r="AA27" i="1"/>
  <c r="AA24" i="1"/>
  <c r="AA26" i="1" s="1"/>
  <c r="AA28" i="1"/>
  <c r="AB17" i="1"/>
  <c r="AB20" i="1" s="1"/>
  <c r="AB58" i="1"/>
  <c r="AB59" i="1" s="1"/>
  <c r="AB35" i="1"/>
  <c r="Z35" i="1"/>
  <c r="Z17" i="1"/>
  <c r="Z20" i="1" s="1"/>
  <c r="Z58" i="1"/>
  <c r="Z59" i="1" s="1"/>
  <c r="AJ15" i="1"/>
  <c r="P15" i="1"/>
  <c r="H15" i="1"/>
  <c r="V28" i="1" l="1"/>
  <c r="V24" i="1"/>
  <c r="V26" i="1" s="1"/>
  <c r="V27" i="1"/>
  <c r="I41" i="1"/>
  <c r="I42" i="1" s="1"/>
  <c r="I31" i="1"/>
  <c r="N41" i="1"/>
  <c r="N42" i="1" s="1"/>
  <c r="N31" i="1"/>
  <c r="Z28" i="1"/>
  <c r="Z27" i="1"/>
  <c r="Z24" i="1"/>
  <c r="Z26" i="1" s="1"/>
  <c r="AB28" i="1"/>
  <c r="AB27" i="1"/>
  <c r="AB24" i="1"/>
  <c r="AB26" i="1" s="1"/>
  <c r="P17" i="1"/>
  <c r="P20" i="1" s="1"/>
  <c r="P58" i="1"/>
  <c r="P59" i="1" s="1"/>
  <c r="P35" i="1"/>
  <c r="H17" i="1"/>
  <c r="H20" i="1" s="1"/>
  <c r="H58" i="1"/>
  <c r="H59" i="1" s="1"/>
  <c r="H35" i="1"/>
  <c r="AJ35" i="1"/>
  <c r="AJ17" i="1"/>
  <c r="AJ20" i="1" s="1"/>
  <c r="AJ58" i="1"/>
  <c r="AJ59" i="1" s="1"/>
  <c r="AA41" i="1"/>
  <c r="AA42" i="1" s="1"/>
  <c r="AA31" i="1"/>
  <c r="O27" i="1"/>
  <c r="O24" i="1"/>
  <c r="O26" i="1" s="1"/>
  <c r="O28" i="1"/>
  <c r="AK27" i="1"/>
  <c r="AK28" i="1"/>
  <c r="AK24" i="1"/>
  <c r="AK26" i="1" s="1"/>
  <c r="AK41" i="1" s="1"/>
  <c r="F27" i="1"/>
  <c r="F24" i="1"/>
  <c r="F26" i="1" s="1"/>
  <c r="F28" i="1"/>
  <c r="W27" i="1"/>
  <c r="W24" i="1"/>
  <c r="W26" i="1" s="1"/>
  <c r="W28" i="1"/>
  <c r="X15" i="1"/>
  <c r="X17" i="1" l="1"/>
  <c r="X20" i="1" s="1"/>
  <c r="X58" i="1"/>
  <c r="X59" i="1" s="1"/>
  <c r="X35" i="1"/>
  <c r="F41" i="1"/>
  <c r="F42" i="1" s="1"/>
  <c r="F31" i="1"/>
  <c r="W41" i="1"/>
  <c r="W42" i="1" s="1"/>
  <c r="W31" i="1"/>
  <c r="O41" i="1"/>
  <c r="O42" i="1" s="1"/>
  <c r="O31" i="1"/>
  <c r="P28" i="1"/>
  <c r="P27" i="1"/>
  <c r="P24" i="1"/>
  <c r="P26" i="1" s="1"/>
  <c r="Z31" i="1"/>
  <c r="AJ31" i="1" s="1"/>
  <c r="Z41" i="1"/>
  <c r="Z42" i="1" s="1"/>
  <c r="AJ42" i="1" s="1"/>
  <c r="V41" i="1"/>
  <c r="V42" i="1" s="1"/>
  <c r="V31" i="1"/>
  <c r="AJ28" i="1"/>
  <c r="AJ24" i="1"/>
  <c r="AJ26" i="1" s="1"/>
  <c r="AJ41" i="1" s="1"/>
  <c r="AJ27" i="1"/>
  <c r="H28" i="1"/>
  <c r="H27" i="1"/>
  <c r="H24" i="1"/>
  <c r="H26" i="1" s="1"/>
  <c r="AB41" i="1"/>
  <c r="AB42" i="1" s="1"/>
  <c r="AK42" i="1" s="1"/>
  <c r="AB31" i="1"/>
  <c r="AK31" i="1" s="1"/>
  <c r="H41" i="1" l="1"/>
  <c r="H42" i="1" s="1"/>
  <c r="H31" i="1"/>
  <c r="P41" i="1"/>
  <c r="P42" i="1" s="1"/>
  <c r="P31" i="1"/>
  <c r="X24" i="1"/>
  <c r="X26" i="1" s="1"/>
  <c r="X28" i="1"/>
  <c r="X27" i="1"/>
  <c r="X41" i="1" l="1"/>
  <c r="X42" i="1" s="1"/>
  <c r="X31" i="1"/>
  <c r="S15" i="1" l="1"/>
  <c r="R15" i="1"/>
  <c r="R58" i="1" l="1"/>
  <c r="R59" i="1" s="1"/>
  <c r="R35" i="1"/>
  <c r="R17" i="1"/>
  <c r="R20" i="1" s="1"/>
  <c r="S17" i="1"/>
  <c r="S20" i="1" s="1"/>
  <c r="S58" i="1"/>
  <c r="S59" i="1" s="1"/>
  <c r="S35" i="1"/>
  <c r="S28" i="1" l="1"/>
  <c r="S27" i="1"/>
  <c r="S24" i="1"/>
  <c r="S26" i="1" s="1"/>
  <c r="R28" i="1"/>
  <c r="R27" i="1"/>
  <c r="R24" i="1"/>
  <c r="R26" i="1" s="1"/>
  <c r="S41" i="1" l="1"/>
  <c r="S42" i="1" s="1"/>
  <c r="S31" i="1"/>
  <c r="R31" i="1"/>
  <c r="R41" i="1"/>
  <c r="R42" i="1" s="1"/>
  <c r="AC15" i="1" l="1"/>
  <c r="AC17" i="1" l="1"/>
  <c r="AC20" i="1" s="1"/>
  <c r="AC58" i="1"/>
  <c r="AC35" i="1"/>
  <c r="AC59" i="1" l="1"/>
  <c r="AC28" i="1"/>
  <c r="AC27" i="1"/>
  <c r="AC24" i="1"/>
  <c r="AC26" i="1" s="1"/>
  <c r="AC41" i="1" l="1"/>
  <c r="AC42" i="1" s="1"/>
  <c r="AC31" i="1"/>
  <c r="AD15" i="1" l="1"/>
  <c r="AD35" i="1" l="1"/>
  <c r="AD17" i="1"/>
  <c r="AD20" i="1" s="1"/>
  <c r="AD58" i="1"/>
  <c r="AF15" i="1"/>
  <c r="AL15" i="1"/>
  <c r="AM15" i="1" l="1"/>
  <c r="AF35" i="1"/>
  <c r="AF17" i="1"/>
  <c r="AF20" i="1" s="1"/>
  <c r="AD59" i="1"/>
  <c r="AF59" i="1" s="1"/>
  <c r="AF58" i="1"/>
  <c r="AD27" i="1"/>
  <c r="AD24" i="1"/>
  <c r="AD26" i="1" s="1"/>
  <c r="AD28" i="1"/>
  <c r="AL58" i="1"/>
  <c r="AL59" i="1" s="1"/>
  <c r="AL35" i="1"/>
  <c r="AL17" i="1"/>
  <c r="AL20" i="1" s="1"/>
  <c r="AD31" i="1" l="1"/>
  <c r="AL31" i="1" s="1"/>
  <c r="AD41" i="1"/>
  <c r="AD42" i="1" s="1"/>
  <c r="AF27" i="1"/>
  <c r="AF24" i="1"/>
  <c r="AF26" i="1" s="1"/>
  <c r="AF28" i="1"/>
  <c r="AL27" i="1"/>
  <c r="AL24" i="1"/>
  <c r="AL26" i="1" s="1"/>
  <c r="AL41" i="1" s="1"/>
  <c r="AL28" i="1"/>
  <c r="AM17" i="1"/>
  <c r="AM20" i="1" s="1"/>
  <c r="AM58" i="1"/>
  <c r="AM59" i="1" s="1"/>
  <c r="AM35" i="1"/>
  <c r="AF41" i="1" l="1"/>
  <c r="AF31" i="1"/>
  <c r="AL42" i="1"/>
  <c r="AF42" i="1"/>
  <c r="AM28" i="1"/>
  <c r="AM27" i="1"/>
  <c r="AM24" i="1"/>
  <c r="AM26" i="1" s="1"/>
  <c r="AM41" i="1" s="1"/>
  <c r="AM42" i="1" l="1"/>
  <c r="AM31" i="1"/>
  <c r="AG15" i="1" l="1"/>
  <c r="AG35" i="1" l="1"/>
  <c r="AG17" i="1"/>
  <c r="AG20" i="1" s="1"/>
  <c r="AG58" i="1"/>
  <c r="AG59" i="1" s="1"/>
  <c r="AG28" i="1" l="1"/>
  <c r="AG27" i="1"/>
  <c r="AG24" i="1"/>
  <c r="AG26" i="1" s="1"/>
  <c r="AG41" i="1" l="1"/>
  <c r="AG42" i="1" s="1"/>
  <c r="AN42" i="1" s="1"/>
  <c r="AG31" i="1"/>
  <c r="AN31" i="1" s="1"/>
</calcChain>
</file>

<file path=xl/comments1.xml><?xml version="1.0" encoding="utf-8"?>
<comments xmlns="http://schemas.openxmlformats.org/spreadsheetml/2006/main">
  <authors>
    <author>Pimanee Ekkachaiworrasin</author>
    <author>jittreeya.p</author>
    <author>Vikash</author>
    <author>Vikash Jalan</author>
  </authors>
  <commentList>
    <comment ref="F2" author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G2" author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Q2" author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R2" author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S2" author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T2" author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U2" authorId="1">
      <text>
        <r>
          <rPr>
            <b/>
            <sz val="9"/>
            <color indexed="81"/>
            <rFont val="Tahoma"/>
            <family val="2"/>
          </rPr>
          <t>jittreeya.p:</t>
        </r>
        <r>
          <rPr>
            <sz val="9"/>
            <color indexed="81"/>
            <rFont val="Tahoma"/>
            <family val="2"/>
          </rPr>
          <t xml:space="preserve">
Restated 1Q15 with revaluation</t>
        </r>
      </text>
    </comment>
    <comment ref="V2" authorId="2">
      <text>
        <r>
          <rPr>
            <b/>
            <sz val="9"/>
            <color indexed="81"/>
            <rFont val="Tahoma"/>
            <family val="2"/>
          </rPr>
          <t>Vikash:</t>
        </r>
        <r>
          <rPr>
            <sz val="9"/>
            <color indexed="81"/>
            <rFont val="Tahoma"/>
            <family val="2"/>
          </rPr>
          <t xml:space="preserve">
Restated in 3Q15 with gain on bargain purchase in Cepsa Canada</t>
        </r>
      </text>
    </comment>
    <comment ref="W2" authorId="0">
      <text>
        <r>
          <rPr>
            <b/>
            <sz val="9"/>
            <color indexed="81"/>
            <rFont val="Tahoma"/>
            <family val="2"/>
          </rPr>
          <t>Pimanee Ekkachaiworrasin:</t>
        </r>
        <r>
          <rPr>
            <sz val="9"/>
            <color indexed="81"/>
            <rFont val="Tahoma"/>
            <family val="2"/>
          </rPr>
          <t xml:space="preserve">
Restated 3Q15 with revaluation</t>
        </r>
      </text>
    </comment>
    <comment ref="Z6" authorId="3">
      <text>
        <r>
          <rPr>
            <b/>
            <sz val="9"/>
            <color indexed="81"/>
            <rFont val="Tahoma"/>
            <family val="2"/>
          </rPr>
          <t>Vikash Jalan:</t>
        </r>
        <r>
          <rPr>
            <sz val="9"/>
            <color indexed="81"/>
            <rFont val="Tahoma"/>
            <family val="2"/>
          </rPr>
          <t xml:space="preserve">
Acquisition: BP Decatur (Aromatics Decatur) and Cepsa Spain (IVL Spain) volumes </t>
        </r>
      </text>
    </comment>
    <comment ref="AD6" authorId="3">
      <text>
        <r>
          <rPr>
            <b/>
            <sz val="9"/>
            <color indexed="81"/>
            <rFont val="Tahoma"/>
            <family val="2"/>
          </rPr>
          <t>Vikash Jalan:</t>
        </r>
        <r>
          <rPr>
            <sz val="9"/>
            <color indexed="81"/>
            <rFont val="Tahoma"/>
            <family val="2"/>
          </rPr>
          <t xml:space="preserve">
45KT lower EOEG due to turnaround, 45KT lower PET/PTA at Rotetrdam due to tie in of PTA expansion started in 3Q17, total imapct ~90KT in 2Q17</t>
        </r>
      </text>
    </comment>
    <comment ref="D7" authorId="2">
      <text>
        <r>
          <rPr>
            <b/>
            <sz val="9"/>
            <color indexed="81"/>
            <rFont val="Tahoma"/>
            <family val="2"/>
          </rPr>
          <t>Vikash:</t>
        </r>
        <r>
          <rPr>
            <sz val="9"/>
            <color indexed="81"/>
            <rFont val="Tahoma"/>
            <family val="2"/>
          </rPr>
          <t xml:space="preserve">
Capcaities were Rerated in 2011 almost first time based on the acheivable and sustainable produciton basis, hence operating rates are lower partially due to this</t>
        </r>
      </text>
    </comment>
    <comment ref="W7" authorId="2">
      <text>
        <r>
          <rPr>
            <b/>
            <sz val="9"/>
            <color indexed="81"/>
            <rFont val="Tahoma"/>
            <family val="2"/>
          </rPr>
          <t>Vikash:</t>
        </r>
        <r>
          <rPr>
            <sz val="9"/>
            <color indexed="81"/>
            <rFont val="Tahoma"/>
            <family val="2"/>
          </rPr>
          <t xml:space="preserve">
Lower on August holidays in Europe, amonth long unplanned SD in EOEG in NA, PTTGC FM in Thailand impacting PX supplies</t>
        </r>
      </text>
    </comment>
    <comment ref="Y7" authorId="3">
      <text>
        <r>
          <rPr>
            <b/>
            <sz val="9"/>
            <color indexed="81"/>
            <rFont val="Tahoma"/>
            <family val="2"/>
          </rPr>
          <t>Vikash Jalan:</t>
        </r>
        <r>
          <rPr>
            <sz val="9"/>
            <color indexed="81"/>
            <rFont val="Tahoma"/>
            <family val="2"/>
          </rPr>
          <t xml:space="preserve">
EOEG in USA was shutdown for almost full 1Q16 for catalyst change and mechanical problem. Fully operational on 15 Apr 2016. Normalised EOEG op rate would be 84%</t>
        </r>
      </text>
    </comment>
    <comment ref="AA7" authorId="3">
      <text>
        <r>
          <rPr>
            <b/>
            <sz val="9"/>
            <color indexed="81"/>
            <rFont val="Tahoma"/>
            <family val="2"/>
          </rPr>
          <t>Vikash Jalan:</t>
        </r>
        <r>
          <rPr>
            <sz val="9"/>
            <color indexed="81"/>
            <rFont val="Tahoma"/>
            <family val="2"/>
          </rPr>
          <t xml:space="preserve">
better demand</t>
        </r>
      </text>
    </comment>
    <comment ref="AB7" authorId="3">
      <text>
        <r>
          <rPr>
            <b/>
            <sz val="9"/>
            <color indexed="81"/>
            <rFont val="Tahoma"/>
            <family val="2"/>
          </rPr>
          <t>Vikash Jalan:</t>
        </r>
        <r>
          <rPr>
            <sz val="9"/>
            <color indexed="81"/>
            <rFont val="Tahoma"/>
            <family val="2"/>
          </rPr>
          <t xml:space="preserve">
seasonal impact and nornal turnaround PTA in Thailand</t>
        </r>
      </text>
    </comment>
    <comment ref="AC7" authorId="3">
      <text>
        <r>
          <rPr>
            <b/>
            <sz val="9"/>
            <color indexed="81"/>
            <rFont val="Tahoma"/>
            <family val="2"/>
          </rPr>
          <t>Vikash Jalan:</t>
        </r>
        <r>
          <rPr>
            <sz val="9"/>
            <color indexed="81"/>
            <rFont val="Tahoma"/>
            <family val="2"/>
          </rPr>
          <t xml:space="preserve">
Planned turnarounds</t>
        </r>
      </text>
    </comment>
    <comment ref="AE7" authorId="3">
      <text>
        <r>
          <rPr>
            <b/>
            <sz val="9"/>
            <color indexed="81"/>
            <rFont val="Tahoma"/>
            <family val="2"/>
          </rPr>
          <t>Vikash Jalan:</t>
        </r>
        <r>
          <rPr>
            <sz val="9"/>
            <color indexed="81"/>
            <rFont val="Tahoma"/>
            <family val="2"/>
          </rPr>
          <t xml:space="preserve">
Higher Op rate with EOEG normalised and higher PET with industry supply tightness</t>
        </r>
      </text>
    </comment>
    <comment ref="H12" authorId="3">
      <text>
        <r>
          <rPr>
            <b/>
            <sz val="9"/>
            <color indexed="81"/>
            <rFont val="Tahoma"/>
            <family val="2"/>
          </rPr>
          <t>Vikash Jalan:</t>
        </r>
        <r>
          <rPr>
            <sz val="9"/>
            <color indexed="81"/>
            <rFont val="Tahoma"/>
            <family val="2"/>
          </rPr>
          <t xml:space="preserve">
Lower revenues on lower prices of products on lower crdue oil trend</t>
        </r>
      </text>
    </comment>
    <comment ref="Y15" authorId="3">
      <text>
        <r>
          <rPr>
            <b/>
            <sz val="9"/>
            <color indexed="81"/>
            <rFont val="Tahoma"/>
            <family val="2"/>
          </rPr>
          <t>Vikash Jalan:</t>
        </r>
        <r>
          <rPr>
            <sz val="9"/>
            <color indexed="81"/>
            <rFont val="Tahoma"/>
            <family val="2"/>
          </rPr>
          <t xml:space="preserve">
Lower mainly due to EOEG shutdown and FM in 1Q16. Plant fully operational on 15 April 2016</t>
        </r>
      </text>
    </comment>
    <comment ref="F16" authorId="0">
      <text>
        <r>
          <rPr>
            <b/>
            <sz val="9"/>
            <color indexed="81"/>
            <rFont val="Tahoma"/>
            <family val="2"/>
          </rPr>
          <t>Pimanee Ekkachaiworrasin:</t>
        </r>
        <r>
          <rPr>
            <sz val="9"/>
            <color indexed="81"/>
            <rFont val="Tahoma"/>
            <family val="2"/>
          </rPr>
          <t xml:space="preserve">
restate</t>
        </r>
      </text>
    </comment>
    <comment ref="G16" authorId="0">
      <text>
        <r>
          <rPr>
            <b/>
            <sz val="9"/>
            <color indexed="81"/>
            <rFont val="Tahoma"/>
            <family val="2"/>
          </rPr>
          <t>Pimanee Ekkachaiworrasin:</t>
        </r>
        <r>
          <rPr>
            <sz val="9"/>
            <color indexed="81"/>
            <rFont val="Tahoma"/>
            <family val="2"/>
          </rPr>
          <t xml:space="preserve">
restate</t>
        </r>
      </text>
    </comment>
    <comment ref="Q16" authorId="0">
      <text>
        <r>
          <rPr>
            <b/>
            <sz val="9"/>
            <color indexed="81"/>
            <rFont val="Tahoma"/>
            <family val="2"/>
          </rPr>
          <t>Pimanee Ekkachaiworrasin:</t>
        </r>
        <r>
          <rPr>
            <sz val="9"/>
            <color indexed="81"/>
            <rFont val="Tahoma"/>
            <family val="2"/>
          </rPr>
          <t xml:space="preserve">
restate</t>
        </r>
      </text>
    </comment>
    <comment ref="R16" authorId="0">
      <text>
        <r>
          <rPr>
            <b/>
            <sz val="9"/>
            <color indexed="81"/>
            <rFont val="Tahoma"/>
            <family val="2"/>
          </rPr>
          <t>Pimanee Ekkachaiworrasin:</t>
        </r>
        <r>
          <rPr>
            <sz val="9"/>
            <color indexed="81"/>
            <rFont val="Tahoma"/>
            <family val="2"/>
          </rPr>
          <t xml:space="preserve">
restate</t>
        </r>
      </text>
    </comment>
    <comment ref="S16" authorId="0">
      <text>
        <r>
          <rPr>
            <b/>
            <sz val="9"/>
            <color indexed="81"/>
            <rFont val="Tahoma"/>
            <family val="2"/>
          </rPr>
          <t>Pimanee Ekkachaiworrasin:</t>
        </r>
        <r>
          <rPr>
            <sz val="9"/>
            <color indexed="81"/>
            <rFont val="Tahoma"/>
            <family val="2"/>
          </rPr>
          <t xml:space="preserve">
restate</t>
        </r>
      </text>
    </comment>
    <comment ref="T16" authorId="0">
      <text>
        <r>
          <rPr>
            <b/>
            <sz val="9"/>
            <color indexed="81"/>
            <rFont val="Tahoma"/>
            <family val="2"/>
          </rPr>
          <t>Pimanee Ekkachaiworrasin:</t>
        </r>
        <r>
          <rPr>
            <sz val="9"/>
            <color indexed="81"/>
            <rFont val="Tahoma"/>
            <family val="2"/>
          </rPr>
          <t xml:space="preserve">
restate</t>
        </r>
      </text>
    </comment>
    <comment ref="W16" authorId="0">
      <text>
        <r>
          <rPr>
            <b/>
            <sz val="9"/>
            <color indexed="81"/>
            <rFont val="Tahoma"/>
            <family val="2"/>
          </rPr>
          <t>Pimanee Ekkachaiworrasin:</t>
        </r>
        <r>
          <rPr>
            <sz val="9"/>
            <color indexed="81"/>
            <rFont val="Tahoma"/>
            <family val="2"/>
          </rPr>
          <t xml:space="preserve">
restated
</t>
        </r>
      </text>
    </comment>
    <comment ref="Y16" authorId="3">
      <text>
        <r>
          <rPr>
            <b/>
            <sz val="9"/>
            <color indexed="81"/>
            <rFont val="Tahoma"/>
            <family val="2"/>
          </rPr>
          <t>Vikash Jalan:</t>
        </r>
        <r>
          <rPr>
            <sz val="9"/>
            <color indexed="81"/>
            <rFont val="Tahoma"/>
            <family val="2"/>
          </rPr>
          <t xml:space="preserve">
Lower mainly due to EOEG shutdown and FM in 1Q16. Plant fully operational on 15 April 2016</t>
        </r>
      </text>
    </comment>
    <comment ref="AA16" authorId="3">
      <text>
        <r>
          <rPr>
            <b/>
            <sz val="9"/>
            <color indexed="81"/>
            <rFont val="Tahoma"/>
            <family val="2"/>
          </rPr>
          <t>Vikash Jalan:</t>
        </r>
        <r>
          <rPr>
            <sz val="9"/>
            <color indexed="81"/>
            <rFont val="Tahoma"/>
            <family val="2"/>
          </rPr>
          <t xml:space="preserve">
lower with Artenius Turkey accounting impairment in 2Q16</t>
        </r>
      </text>
    </comment>
    <comment ref="AC19" authorId="3">
      <text>
        <r>
          <rPr>
            <b/>
            <sz val="9"/>
            <color indexed="81"/>
            <rFont val="Tahoma"/>
            <family val="2"/>
          </rPr>
          <t>Vikash Jalan:</t>
        </r>
        <r>
          <rPr>
            <sz val="9"/>
            <color indexed="81"/>
            <rFont val="Tahoma"/>
            <family val="2"/>
          </rPr>
          <t xml:space="preserve">
Mainly driven positively by India JV</t>
        </r>
      </text>
    </comment>
    <comment ref="AD19" authorId="3">
      <text>
        <r>
          <rPr>
            <b/>
            <sz val="9"/>
            <color indexed="81"/>
            <rFont val="Tahoma"/>
            <family val="2"/>
          </rPr>
          <t>Vikash Jalan:</t>
        </r>
        <r>
          <rPr>
            <sz val="9"/>
            <color indexed="81"/>
            <rFont val="Tahoma"/>
            <family val="2"/>
          </rPr>
          <t xml:space="preserve">
Due to inventory loss as we are not showing core JV performance. Core operations are strong in India PET JV</t>
        </r>
      </text>
    </comment>
    <comment ref="C22" authorId="2">
      <text>
        <r>
          <rPr>
            <b/>
            <sz val="9"/>
            <color indexed="81"/>
            <rFont val="Tahoma"/>
            <family val="2"/>
          </rPr>
          <t>Vikash:</t>
        </r>
        <r>
          <rPr>
            <sz val="9"/>
            <color indexed="81"/>
            <rFont val="Tahoma"/>
            <family val="2"/>
          </rPr>
          <t xml:space="preserve">
Deferred Tax not applicablein Thailand as per Thai GAAP</t>
        </r>
      </text>
    </comment>
    <comment ref="D22" authorId="2">
      <text>
        <r>
          <rPr>
            <b/>
            <sz val="9"/>
            <color indexed="81"/>
            <rFont val="Tahoma"/>
            <family val="2"/>
          </rPr>
          <t>Vikash:</t>
        </r>
        <r>
          <rPr>
            <sz val="9"/>
            <color indexed="81"/>
            <rFont val="Tahoma"/>
            <family val="2"/>
          </rPr>
          <t xml:space="preserve">
Deferred Tax not applicablein Thailand as per Thai GAAP</t>
        </r>
      </text>
    </comment>
    <comment ref="F22" authorId="0">
      <text>
        <r>
          <rPr>
            <b/>
            <sz val="9"/>
            <color indexed="81"/>
            <rFont val="Tahoma"/>
            <family val="2"/>
          </rPr>
          <t>Pimanee Ekkachaiworrasin:</t>
        </r>
        <r>
          <rPr>
            <sz val="9"/>
            <color indexed="81"/>
            <rFont val="Tahoma"/>
            <family val="2"/>
          </rPr>
          <t xml:space="preserve">
restate</t>
        </r>
      </text>
    </comment>
    <comment ref="G22" authorId="0">
      <text>
        <r>
          <rPr>
            <b/>
            <sz val="9"/>
            <color indexed="81"/>
            <rFont val="Tahoma"/>
            <family val="2"/>
          </rPr>
          <t>Pimanee Ekkachaiworrasin:</t>
        </r>
        <r>
          <rPr>
            <sz val="9"/>
            <color indexed="81"/>
            <rFont val="Tahoma"/>
            <family val="2"/>
          </rPr>
          <t xml:space="preserve">
restate</t>
        </r>
      </text>
    </comment>
    <comment ref="Q22" authorId="0">
      <text>
        <r>
          <rPr>
            <b/>
            <sz val="9"/>
            <color indexed="81"/>
            <rFont val="Tahoma"/>
            <family val="2"/>
          </rPr>
          <t>Pimanee Ekkachaiworrasin:</t>
        </r>
        <r>
          <rPr>
            <sz val="9"/>
            <color indexed="81"/>
            <rFont val="Tahoma"/>
            <family val="2"/>
          </rPr>
          <t xml:space="preserve">
restate</t>
        </r>
      </text>
    </comment>
    <comment ref="R22" authorId="0">
      <text>
        <r>
          <rPr>
            <b/>
            <sz val="9"/>
            <color indexed="81"/>
            <rFont val="Tahoma"/>
            <family val="2"/>
          </rPr>
          <t>Pimanee Ekkachaiworrasin:</t>
        </r>
        <r>
          <rPr>
            <sz val="9"/>
            <color indexed="81"/>
            <rFont val="Tahoma"/>
            <family val="2"/>
          </rPr>
          <t xml:space="preserve">
restate</t>
        </r>
      </text>
    </comment>
    <comment ref="S22" authorId="0">
      <text>
        <r>
          <rPr>
            <b/>
            <sz val="9"/>
            <color indexed="81"/>
            <rFont val="Tahoma"/>
            <family val="2"/>
          </rPr>
          <t>Pimanee Ekkachaiworrasin:</t>
        </r>
        <r>
          <rPr>
            <sz val="9"/>
            <color indexed="81"/>
            <rFont val="Tahoma"/>
            <family val="2"/>
          </rPr>
          <t xml:space="preserve">
restate</t>
        </r>
      </text>
    </comment>
    <comment ref="T22" authorId="0">
      <text>
        <r>
          <rPr>
            <b/>
            <sz val="9"/>
            <color indexed="81"/>
            <rFont val="Tahoma"/>
            <family val="2"/>
          </rPr>
          <t>Pimanee Ekkachaiworrasin:</t>
        </r>
        <r>
          <rPr>
            <sz val="9"/>
            <color indexed="81"/>
            <rFont val="Tahoma"/>
            <family val="2"/>
          </rPr>
          <t xml:space="preserve">
restate</t>
        </r>
      </text>
    </comment>
    <comment ref="W22" authorId="0">
      <text>
        <r>
          <rPr>
            <b/>
            <sz val="9"/>
            <color indexed="81"/>
            <rFont val="Tahoma"/>
            <family val="2"/>
          </rPr>
          <t>Pimanee Ekkachaiworrasin:</t>
        </r>
        <r>
          <rPr>
            <sz val="9"/>
            <color indexed="81"/>
            <rFont val="Tahoma"/>
            <family val="2"/>
          </rPr>
          <t xml:space="preserve">
restate</t>
        </r>
      </text>
    </comment>
    <comment ref="X22" authorId="3">
      <text>
        <r>
          <rPr>
            <b/>
            <sz val="9"/>
            <color indexed="81"/>
            <rFont val="Tahoma"/>
            <family val="2"/>
          </rPr>
          <t>Vikash Jalan:</t>
        </r>
        <r>
          <rPr>
            <sz val="9"/>
            <color indexed="81"/>
            <rFont val="Tahoma"/>
            <family val="2"/>
          </rPr>
          <t xml:space="preserve">
Positive due to year end tax audit final numbers and also change in mix of earnings as NA had lower contribution QoQ due to MEG ageing catalyst and 20 days planned maintenance shutdown at PTA Canada</t>
        </r>
      </text>
    </comment>
    <comment ref="A23" authorId="2">
      <text>
        <r>
          <rPr>
            <b/>
            <sz val="9"/>
            <color indexed="81"/>
            <rFont val="Tahoma"/>
            <family val="2"/>
          </rPr>
          <t>Vikash:</t>
        </r>
        <r>
          <rPr>
            <sz val="9"/>
            <color indexed="81"/>
            <rFont val="Tahoma"/>
            <family val="2"/>
          </rPr>
          <t xml:space="preserve">
this is the notional tax adjustment on inventories gain/loss to present the core financials appropriately.
It is calculated as effective tax % X inventory gain/loss for individual company</t>
        </r>
      </text>
    </comment>
    <comment ref="C23" authorId="2">
      <text>
        <r>
          <rPr>
            <b/>
            <sz val="9"/>
            <color indexed="81"/>
            <rFont val="Tahoma"/>
            <family val="2"/>
          </rPr>
          <t>Vikash:</t>
        </r>
        <r>
          <rPr>
            <sz val="9"/>
            <color indexed="81"/>
            <rFont val="Tahoma"/>
            <family val="2"/>
          </rPr>
          <t xml:space="preserve">
Not calculated Yet</t>
        </r>
      </text>
    </comment>
    <comment ref="D23" authorId="2">
      <text>
        <r>
          <rPr>
            <b/>
            <sz val="9"/>
            <color indexed="81"/>
            <rFont val="Tahoma"/>
            <family val="2"/>
          </rPr>
          <t>Vikash:</t>
        </r>
        <r>
          <rPr>
            <sz val="9"/>
            <color indexed="81"/>
            <rFont val="Tahoma"/>
            <family val="2"/>
          </rPr>
          <t xml:space="preserve">
Not calculated Yet</t>
        </r>
      </text>
    </comment>
    <comment ref="D25" authorId="2">
      <text>
        <r>
          <rPr>
            <b/>
            <sz val="9"/>
            <color indexed="81"/>
            <rFont val="Tahoma"/>
            <family val="2"/>
          </rPr>
          <t>Vikash:</t>
        </r>
        <r>
          <rPr>
            <sz val="9"/>
            <color indexed="81"/>
            <rFont val="Tahoma"/>
            <family val="2"/>
          </rPr>
          <t xml:space="preserve">
Positive due to Lopburi Insurance income for Petform Minorty postion</t>
        </r>
      </text>
    </comment>
    <comment ref="F25" authorId="0">
      <text>
        <r>
          <rPr>
            <b/>
            <sz val="9"/>
            <color indexed="81"/>
            <rFont val="Tahoma"/>
            <family val="2"/>
          </rPr>
          <t>Pimanee Ekkachaiworrasin:</t>
        </r>
        <r>
          <rPr>
            <sz val="9"/>
            <color indexed="81"/>
            <rFont val="Tahoma"/>
            <family val="2"/>
          </rPr>
          <t xml:space="preserve">
restate</t>
        </r>
      </text>
    </comment>
    <comment ref="G25" authorId="0">
      <text>
        <r>
          <rPr>
            <b/>
            <sz val="9"/>
            <color indexed="81"/>
            <rFont val="Tahoma"/>
            <family val="2"/>
          </rPr>
          <t>Pimanee Ekkachaiworrasin:</t>
        </r>
        <r>
          <rPr>
            <sz val="9"/>
            <color indexed="81"/>
            <rFont val="Tahoma"/>
            <family val="2"/>
          </rPr>
          <t xml:space="preserve">
restate</t>
        </r>
      </text>
    </comment>
    <comment ref="W25" authorId="0">
      <text>
        <r>
          <rPr>
            <b/>
            <sz val="9"/>
            <color indexed="81"/>
            <rFont val="Tahoma"/>
            <family val="2"/>
          </rPr>
          <t>Pimanee Ekkachaiworrasin:</t>
        </r>
        <r>
          <rPr>
            <sz val="9"/>
            <color indexed="81"/>
            <rFont val="Tahoma"/>
            <family val="2"/>
          </rPr>
          <t xml:space="preserve">
restate</t>
        </r>
      </text>
    </comment>
    <comment ref="C27" authorId="2">
      <text>
        <r>
          <rPr>
            <b/>
            <sz val="9"/>
            <color indexed="81"/>
            <rFont val="Tahoma"/>
            <family val="2"/>
          </rPr>
          <t>Vikash:</t>
        </r>
        <r>
          <rPr>
            <sz val="9"/>
            <color indexed="81"/>
            <rFont val="Tahoma"/>
            <family val="2"/>
          </rPr>
          <t xml:space="preserve">
Deferred Tax not applicablein Thailand as per Thai GAAP</t>
        </r>
      </text>
    </comment>
    <comment ref="D27" authorId="2">
      <text>
        <r>
          <rPr>
            <b/>
            <sz val="9"/>
            <color indexed="81"/>
            <rFont val="Tahoma"/>
            <family val="2"/>
          </rPr>
          <t>Vikash:</t>
        </r>
        <r>
          <rPr>
            <sz val="9"/>
            <color indexed="81"/>
            <rFont val="Tahoma"/>
            <family val="2"/>
          </rPr>
          <t xml:space="preserve">
Deferred Tax not applicablein Thailand as per Thai GAAP</t>
        </r>
      </text>
    </comment>
    <comment ref="M28" authorId="3">
      <text>
        <r>
          <rPr>
            <b/>
            <sz val="9"/>
            <color indexed="81"/>
            <rFont val="Tahoma"/>
            <family val="2"/>
          </rPr>
          <t>Vikash Jalan:</t>
        </r>
        <r>
          <rPr>
            <sz val="9"/>
            <color indexed="81"/>
            <rFont val="Tahoma"/>
            <family val="2"/>
          </rPr>
          <t xml:space="preserve">
due to regional mix and lower profits</t>
        </r>
      </text>
    </comment>
    <comment ref="C30" authorId="2">
      <text>
        <r>
          <rPr>
            <b/>
            <sz val="9"/>
            <color indexed="81"/>
            <rFont val="Tahoma"/>
            <family val="2"/>
          </rPr>
          <t>Vikash:</t>
        </r>
        <r>
          <rPr>
            <sz val="9"/>
            <color indexed="81"/>
            <rFont val="Tahoma"/>
            <family val="2"/>
          </rPr>
          <t xml:space="preserve">
IPO Feb 2010</t>
        </r>
      </text>
    </comment>
    <comment ref="D30" authorId="2">
      <text>
        <r>
          <rPr>
            <b/>
            <sz val="9"/>
            <color indexed="81"/>
            <rFont val="Tahoma"/>
            <family val="2"/>
          </rPr>
          <t>Vikash:</t>
        </r>
        <r>
          <rPr>
            <sz val="9"/>
            <color indexed="81"/>
            <rFont val="Tahoma"/>
            <family val="2"/>
          </rPr>
          <t xml:space="preserve">
Right Issue Feb 2011</t>
        </r>
      </text>
    </comment>
    <comment ref="AE30" authorId="3">
      <text>
        <r>
          <rPr>
            <b/>
            <sz val="9"/>
            <color indexed="81"/>
            <rFont val="Tahoma"/>
            <family val="2"/>
          </rPr>
          <t>Vikash Jalan:</t>
        </r>
        <r>
          <rPr>
            <sz val="9"/>
            <color indexed="81"/>
            <rFont val="Tahoma"/>
            <family val="2"/>
          </rPr>
          <t xml:space="preserve">
Wt average for 3Q17 with IVL W1 issuance</t>
        </r>
      </text>
    </comment>
    <comment ref="AC34" authorId="3">
      <text>
        <r>
          <rPr>
            <b/>
            <sz val="9"/>
            <color indexed="81"/>
            <rFont val="Tahoma"/>
            <family val="2"/>
          </rPr>
          <t>Vikash Jalan:</t>
        </r>
        <r>
          <rPr>
            <sz val="9"/>
            <color indexed="81"/>
            <rFont val="Tahoma"/>
            <family val="2"/>
          </rPr>
          <t xml:space="preserve">
Higher prices and some lag imapct</t>
        </r>
      </text>
    </comment>
    <comment ref="AD34" authorId="3">
      <text>
        <r>
          <rPr>
            <b/>
            <sz val="9"/>
            <color indexed="81"/>
            <rFont val="Tahoma"/>
            <family val="2"/>
          </rPr>
          <t>Vikash Jalan:</t>
        </r>
        <r>
          <rPr>
            <sz val="9"/>
            <color indexed="81"/>
            <rFont val="Tahoma"/>
            <family val="2"/>
          </rPr>
          <t xml:space="preserve">
Lower prices, this is non cash as cash comes back in the form of working capital iflow</t>
        </r>
      </text>
    </comment>
    <comment ref="H36" authorId="3">
      <text>
        <r>
          <rPr>
            <b/>
            <sz val="9"/>
            <color indexed="81"/>
            <rFont val="Tahoma"/>
            <family val="2"/>
          </rPr>
          <t>Vikash Jalan:</t>
        </r>
        <r>
          <rPr>
            <sz val="9"/>
            <color indexed="81"/>
            <rFont val="Tahoma"/>
            <family val="2"/>
          </rPr>
          <t xml:space="preserve">
mainly income on gain on bargain purchase on completed acquisitions in 2015 less impairment of Deferred tax assets of PTA assets in Asia</t>
        </r>
      </text>
    </comment>
    <comment ref="V36" authorId="2">
      <text>
        <r>
          <rPr>
            <b/>
            <sz val="9"/>
            <color indexed="81"/>
            <rFont val="Tahoma"/>
            <family val="2"/>
          </rPr>
          <t>Vikash:</t>
        </r>
        <r>
          <rPr>
            <sz val="9"/>
            <color indexed="81"/>
            <rFont val="Tahoma"/>
            <family val="2"/>
          </rPr>
          <t xml:space="preserve">
Mainly gain on bargain purchase on Polyplex PET, Bangkok Polyester and Cepsa Canada</t>
        </r>
      </text>
    </comment>
    <comment ref="Y36" authorId="3">
      <text>
        <r>
          <rPr>
            <b/>
            <sz val="9"/>
            <color indexed="81"/>
            <rFont val="Tahoma"/>
            <family val="2"/>
          </rPr>
          <t>Vikash Jalan:</t>
        </r>
        <r>
          <rPr>
            <sz val="9"/>
            <color indexed="81"/>
            <rFont val="Tahoma"/>
            <family val="2"/>
          </rPr>
          <t xml:space="preserve">
Mainly gain on bargain purchase income on the acquisition of BP Decatur completed on 31 March 2016</t>
        </r>
      </text>
    </comment>
    <comment ref="Z36" authorId="3">
      <text>
        <r>
          <rPr>
            <b/>
            <sz val="9"/>
            <color indexed="81"/>
            <rFont val="Tahoma"/>
            <family val="2"/>
          </rPr>
          <t>Vikash Jalan:</t>
        </r>
        <r>
          <rPr>
            <sz val="9"/>
            <color indexed="81"/>
            <rFont val="Tahoma"/>
            <family val="2"/>
          </rPr>
          <t xml:space="preserve">
Mainly on gain on bargin purchase on Aromatics Decatur and IVL Spain acquisition</t>
        </r>
      </text>
    </comment>
    <comment ref="AA36" authorId="3">
      <text>
        <r>
          <rPr>
            <b/>
            <sz val="9"/>
            <color indexed="81"/>
            <rFont val="Tahoma"/>
            <family val="2"/>
          </rPr>
          <t>Vikash Jalan:</t>
        </r>
        <r>
          <rPr>
            <sz val="9"/>
            <color indexed="81"/>
            <rFont val="Tahoma"/>
            <family val="2"/>
          </rPr>
          <t xml:space="preserve">
Mainly on refund of THB 432.9million on account of commercial settlement of Aromatics project in Middle East</t>
        </r>
      </text>
    </comment>
    <comment ref="AB39" authorId="3">
      <text>
        <r>
          <rPr>
            <b/>
            <sz val="9"/>
            <color indexed="81"/>
            <rFont val="Tahoma"/>
            <family val="2"/>
          </rPr>
          <t>Vikash Jalan:</t>
        </r>
        <r>
          <rPr>
            <sz val="9"/>
            <color indexed="81"/>
            <rFont val="Tahoma"/>
            <family val="2"/>
          </rPr>
          <t xml:space="preserve">
Mainly tax reversal in Asia with a new tax negotiation with authorities</t>
        </r>
      </text>
    </comment>
    <comment ref="A40" authorId="2">
      <text>
        <r>
          <rPr>
            <b/>
            <sz val="9"/>
            <color indexed="81"/>
            <rFont val="Tahoma"/>
            <family val="2"/>
          </rPr>
          <t>Vikash:</t>
        </r>
        <r>
          <rPr>
            <sz val="9"/>
            <color indexed="81"/>
            <rFont val="Tahoma"/>
            <family val="2"/>
          </rPr>
          <t xml:space="preserve">
this is the notional tax adjustment on inventories gain/loss to present the core financials appropriately.
It is calculated as effective tax % X inventory gain/loss for individual company</t>
        </r>
      </text>
    </comment>
    <comment ref="Y44" authorId="3">
      <text>
        <r>
          <rPr>
            <b/>
            <sz val="9"/>
            <color indexed="81"/>
            <rFont val="Tahoma"/>
            <family val="2"/>
          </rPr>
          <t>Vikash Jalan:</t>
        </r>
        <r>
          <rPr>
            <sz val="9"/>
            <color indexed="81"/>
            <rFont val="Tahoma"/>
            <family val="2"/>
          </rPr>
          <t xml:space="preserve">
Higher with the payment for BP Decatur acqusition on 31 March 2016</t>
        </r>
      </text>
    </comment>
    <comment ref="Z44" authorId="3">
      <text>
        <r>
          <rPr>
            <b/>
            <sz val="9"/>
            <color indexed="81"/>
            <rFont val="Tahoma"/>
            <family val="2"/>
          </rPr>
          <t>Vikash Jalan:</t>
        </r>
        <r>
          <rPr>
            <sz val="9"/>
            <color indexed="81"/>
            <rFont val="Tahoma"/>
            <family val="2"/>
          </rPr>
          <t xml:space="preserve">
Higher with acquisition payment and working capital outflow on rising prices </t>
        </r>
      </text>
    </comment>
    <comment ref="AA46" authorId="3">
      <text>
        <r>
          <rPr>
            <b/>
            <sz val="9"/>
            <color indexed="81"/>
            <rFont val="Tahoma"/>
            <family val="2"/>
          </rPr>
          <t>Vikash Jalan:</t>
        </r>
        <r>
          <rPr>
            <sz val="9"/>
            <color indexed="81"/>
            <rFont val="Tahoma"/>
            <family val="2"/>
          </rPr>
          <t xml:space="preserve">
Lowered debt with strong cash flow and lower capex</t>
        </r>
      </text>
    </comment>
    <comment ref="W47" authorId="2">
      <text>
        <r>
          <rPr>
            <b/>
            <sz val="9"/>
            <color indexed="81"/>
            <rFont val="Tahoma"/>
            <family val="2"/>
          </rPr>
          <t>Vikash:</t>
        </r>
        <r>
          <rPr>
            <sz val="9"/>
            <color indexed="81"/>
            <rFont val="Tahoma"/>
            <family val="2"/>
          </rPr>
          <t xml:space="preserve">
Mainly Rotterdam Expansion and Ethylene Cracker in the USA</t>
        </r>
      </text>
    </comment>
    <comment ref="Y47" authorId="3">
      <text>
        <r>
          <rPr>
            <b/>
            <sz val="9"/>
            <color indexed="81"/>
            <rFont val="Tahoma"/>
            <family val="2"/>
          </rPr>
          <t>Vikash Jalan:</t>
        </r>
        <r>
          <rPr>
            <sz val="9"/>
            <color indexed="81"/>
            <rFont val="Tahoma"/>
            <family val="2"/>
          </rPr>
          <t xml:space="preserve">
Higher as amount paid for BP Decatur acqustiion is considered non operational for 1Q16 as acquisition completed on 31 March 2016 </t>
        </r>
      </text>
    </comment>
    <comment ref="Z47" authorId="3">
      <text>
        <r>
          <rPr>
            <b/>
            <sz val="9"/>
            <color indexed="81"/>
            <rFont val="Tahoma"/>
            <family val="2"/>
          </rPr>
          <t>Vikash Jalan:</t>
        </r>
        <r>
          <rPr>
            <sz val="9"/>
            <color indexed="81"/>
            <rFont val="Tahoma"/>
            <family val="2"/>
          </rPr>
          <t xml:space="preserve">
Gas Cracker, Rotterdam PTA expansion and others</t>
        </r>
      </text>
    </comment>
    <comment ref="AA47" authorId="3">
      <text>
        <r>
          <rPr>
            <b/>
            <sz val="9"/>
            <color indexed="81"/>
            <rFont val="Tahoma"/>
            <family val="2"/>
          </rPr>
          <t>Vikash Jalan:</t>
        </r>
        <r>
          <rPr>
            <sz val="9"/>
            <color indexed="81"/>
            <rFont val="Tahoma"/>
            <family val="2"/>
          </rPr>
          <t xml:space="preserve">
Gas Cracker, Rotterdam PTA expansion and others</t>
        </r>
      </text>
    </comment>
    <comment ref="AD48" authorId="3">
      <text>
        <r>
          <rPr>
            <b/>
            <sz val="9"/>
            <color indexed="81"/>
            <rFont val="Tahoma"/>
            <family val="2"/>
          </rPr>
          <t>Vikash Jalan:</t>
        </r>
        <r>
          <rPr>
            <sz val="9"/>
            <color indexed="81"/>
            <rFont val="Tahoma"/>
            <family val="2"/>
          </rPr>
          <t xml:space="preserve">
Increase mainly due to the payment of Glanztoff acquisition in May 2017</t>
        </r>
      </text>
    </comment>
    <comment ref="F49" authorId="0">
      <text>
        <r>
          <rPr>
            <b/>
            <sz val="9"/>
            <color indexed="81"/>
            <rFont val="Tahoma"/>
            <family val="2"/>
          </rPr>
          <t>Pimanee Ekkachaiworrasin:</t>
        </r>
        <r>
          <rPr>
            <sz val="9"/>
            <color indexed="81"/>
            <rFont val="Tahoma"/>
            <family val="2"/>
          </rPr>
          <t xml:space="preserve">
restate</t>
        </r>
      </text>
    </comment>
    <comment ref="G49" authorId="0">
      <text>
        <r>
          <rPr>
            <b/>
            <sz val="9"/>
            <color indexed="81"/>
            <rFont val="Tahoma"/>
            <family val="2"/>
          </rPr>
          <t>Pimanee Ekkachaiworrasin:</t>
        </r>
        <r>
          <rPr>
            <sz val="9"/>
            <color indexed="81"/>
            <rFont val="Tahoma"/>
            <family val="2"/>
          </rPr>
          <t xml:space="preserve">
restate</t>
        </r>
      </text>
    </comment>
    <comment ref="Q49" authorId="0">
      <text>
        <r>
          <rPr>
            <b/>
            <sz val="9"/>
            <color indexed="81"/>
            <rFont val="Tahoma"/>
            <family val="2"/>
          </rPr>
          <t>Pimanee Ekkachaiworrasin:</t>
        </r>
        <r>
          <rPr>
            <sz val="9"/>
            <color indexed="81"/>
            <rFont val="Tahoma"/>
            <family val="2"/>
          </rPr>
          <t xml:space="preserve">
restate</t>
        </r>
      </text>
    </comment>
    <comment ref="R49" authorId="0">
      <text>
        <r>
          <rPr>
            <b/>
            <sz val="9"/>
            <color indexed="81"/>
            <rFont val="Tahoma"/>
            <family val="2"/>
          </rPr>
          <t>Pimanee Ekkachaiworrasin:</t>
        </r>
        <r>
          <rPr>
            <sz val="9"/>
            <color indexed="81"/>
            <rFont val="Tahoma"/>
            <family val="2"/>
          </rPr>
          <t xml:space="preserve">
restate</t>
        </r>
      </text>
    </comment>
    <comment ref="S49" authorId="0">
      <text>
        <r>
          <rPr>
            <b/>
            <sz val="9"/>
            <color indexed="81"/>
            <rFont val="Tahoma"/>
            <family val="2"/>
          </rPr>
          <t>Pimanee Ekkachaiworrasin:</t>
        </r>
        <r>
          <rPr>
            <sz val="9"/>
            <color indexed="81"/>
            <rFont val="Tahoma"/>
            <family val="2"/>
          </rPr>
          <t xml:space="preserve">
restate</t>
        </r>
      </text>
    </comment>
    <comment ref="T49" authorId="0">
      <text>
        <r>
          <rPr>
            <b/>
            <sz val="9"/>
            <color indexed="81"/>
            <rFont val="Tahoma"/>
            <family val="2"/>
          </rPr>
          <t>Pimanee Ekkachaiworrasin:</t>
        </r>
        <r>
          <rPr>
            <sz val="9"/>
            <color indexed="81"/>
            <rFont val="Tahoma"/>
            <family val="2"/>
          </rPr>
          <t xml:space="preserve">
restate</t>
        </r>
      </text>
    </comment>
    <comment ref="U49" authorId="0">
      <text>
        <r>
          <rPr>
            <b/>
            <sz val="9"/>
            <color indexed="81"/>
            <rFont val="Tahoma"/>
            <family val="2"/>
          </rPr>
          <t>Pimanee Ekkachaiworrasin:</t>
        </r>
        <r>
          <rPr>
            <sz val="9"/>
            <color indexed="81"/>
            <rFont val="Tahoma"/>
            <family val="2"/>
          </rPr>
          <t xml:space="preserve">
restate</t>
        </r>
      </text>
    </comment>
    <comment ref="V49" authorId="0">
      <text>
        <r>
          <rPr>
            <b/>
            <sz val="9"/>
            <color indexed="81"/>
            <rFont val="Tahoma"/>
            <family val="2"/>
          </rPr>
          <t>Pimanee Ekkachaiworrasin:</t>
        </r>
        <r>
          <rPr>
            <sz val="9"/>
            <color indexed="81"/>
            <rFont val="Tahoma"/>
            <family val="2"/>
          </rPr>
          <t xml:space="preserve">
restate</t>
        </r>
      </text>
    </comment>
    <comment ref="W49" authorId="0">
      <text>
        <r>
          <rPr>
            <b/>
            <sz val="9"/>
            <color indexed="81"/>
            <rFont val="Tahoma"/>
            <family val="2"/>
          </rPr>
          <t>Pimanee Ekkachaiworrasin:</t>
        </r>
        <r>
          <rPr>
            <sz val="9"/>
            <color indexed="81"/>
            <rFont val="Tahoma"/>
            <family val="2"/>
          </rPr>
          <t xml:space="preserve">
restate</t>
        </r>
      </text>
    </comment>
    <comment ref="F51" authorId="0">
      <text>
        <r>
          <rPr>
            <b/>
            <sz val="9"/>
            <color indexed="81"/>
            <rFont val="Tahoma"/>
            <family val="2"/>
          </rPr>
          <t>Pimanee Ekkachaiworrasin:</t>
        </r>
        <r>
          <rPr>
            <sz val="9"/>
            <color indexed="81"/>
            <rFont val="Tahoma"/>
            <family val="2"/>
          </rPr>
          <t xml:space="preserve">
restate</t>
        </r>
      </text>
    </comment>
    <comment ref="G51" authorId="0">
      <text>
        <r>
          <rPr>
            <b/>
            <sz val="9"/>
            <color indexed="81"/>
            <rFont val="Tahoma"/>
            <family val="2"/>
          </rPr>
          <t>Pimanee Ekkachaiworrasin:</t>
        </r>
        <r>
          <rPr>
            <sz val="9"/>
            <color indexed="81"/>
            <rFont val="Tahoma"/>
            <family val="2"/>
          </rPr>
          <t xml:space="preserve">
restate</t>
        </r>
      </text>
    </comment>
    <comment ref="Q51" authorId="0">
      <text>
        <r>
          <rPr>
            <b/>
            <sz val="9"/>
            <color indexed="81"/>
            <rFont val="Tahoma"/>
            <family val="2"/>
          </rPr>
          <t>Pimanee Ekkachaiworrasin:</t>
        </r>
        <r>
          <rPr>
            <sz val="9"/>
            <color indexed="81"/>
            <rFont val="Tahoma"/>
            <family val="2"/>
          </rPr>
          <t xml:space="preserve">
restate</t>
        </r>
      </text>
    </comment>
    <comment ref="R51" authorId="0">
      <text>
        <r>
          <rPr>
            <b/>
            <sz val="9"/>
            <color indexed="81"/>
            <rFont val="Tahoma"/>
            <family val="2"/>
          </rPr>
          <t>Pimanee Ekkachaiworrasin:</t>
        </r>
        <r>
          <rPr>
            <sz val="9"/>
            <color indexed="81"/>
            <rFont val="Tahoma"/>
            <family val="2"/>
          </rPr>
          <t xml:space="preserve">
restate</t>
        </r>
      </text>
    </comment>
    <comment ref="S51" authorId="0">
      <text>
        <r>
          <rPr>
            <b/>
            <sz val="9"/>
            <color indexed="81"/>
            <rFont val="Tahoma"/>
            <family val="2"/>
          </rPr>
          <t>Pimanee Ekkachaiworrasin:</t>
        </r>
        <r>
          <rPr>
            <sz val="9"/>
            <color indexed="81"/>
            <rFont val="Tahoma"/>
            <family val="2"/>
          </rPr>
          <t xml:space="preserve">
restate</t>
        </r>
      </text>
    </comment>
    <comment ref="T51" authorId="0">
      <text>
        <r>
          <rPr>
            <b/>
            <sz val="9"/>
            <color indexed="81"/>
            <rFont val="Tahoma"/>
            <family val="2"/>
          </rPr>
          <t>Pimanee Ekkachaiworrasin:</t>
        </r>
        <r>
          <rPr>
            <sz val="9"/>
            <color indexed="81"/>
            <rFont val="Tahoma"/>
            <family val="2"/>
          </rPr>
          <t xml:space="preserve">
restate</t>
        </r>
      </text>
    </comment>
    <comment ref="U51" authorId="0">
      <text>
        <r>
          <rPr>
            <b/>
            <sz val="9"/>
            <color indexed="81"/>
            <rFont val="Tahoma"/>
            <family val="2"/>
          </rPr>
          <t>Pimanee Ekkachaiworrasin:</t>
        </r>
        <r>
          <rPr>
            <sz val="9"/>
            <color indexed="81"/>
            <rFont val="Tahoma"/>
            <family val="2"/>
          </rPr>
          <t xml:space="preserve">
restate</t>
        </r>
      </text>
    </comment>
    <comment ref="V51" authorId="0">
      <text>
        <r>
          <rPr>
            <b/>
            <sz val="9"/>
            <color indexed="81"/>
            <rFont val="Tahoma"/>
            <family val="2"/>
          </rPr>
          <t>Pimanee Ekkachaiworrasin:</t>
        </r>
        <r>
          <rPr>
            <sz val="9"/>
            <color indexed="81"/>
            <rFont val="Tahoma"/>
            <family val="2"/>
          </rPr>
          <t xml:space="preserve">
restate</t>
        </r>
      </text>
    </comment>
    <comment ref="W51" authorId="0">
      <text>
        <r>
          <rPr>
            <b/>
            <sz val="9"/>
            <color indexed="81"/>
            <rFont val="Tahoma"/>
            <family val="2"/>
          </rPr>
          <t>Pimanee Ekkachaiworrasin:</t>
        </r>
        <r>
          <rPr>
            <sz val="9"/>
            <color indexed="81"/>
            <rFont val="Tahoma"/>
            <family val="2"/>
          </rPr>
          <t xml:space="preserve">
restate</t>
        </r>
      </text>
    </comment>
    <comment ref="D59" authorId="2">
      <text>
        <r>
          <rPr>
            <b/>
            <sz val="9"/>
            <color indexed="81"/>
            <rFont val="Tahoma"/>
            <family val="2"/>
          </rPr>
          <t>Vikash:</t>
        </r>
        <r>
          <rPr>
            <sz val="9"/>
            <color indexed="81"/>
            <rFont val="Tahoma"/>
            <family val="2"/>
          </rPr>
          <t xml:space="preserve">
Includes some working capital required on acquisitions that were bought without working capital or ramped up production post acquisition.</t>
        </r>
      </text>
    </comment>
    <comment ref="Z59" authorId="3">
      <text>
        <r>
          <rPr>
            <b/>
            <sz val="9"/>
            <color indexed="81"/>
            <rFont val="Tahoma"/>
            <family val="2"/>
          </rPr>
          <t>Vikash Jalan:</t>
        </r>
        <r>
          <rPr>
            <sz val="9"/>
            <color indexed="81"/>
            <rFont val="Tahoma"/>
            <family val="2"/>
          </rPr>
          <t xml:space="preserve">
on higher absolute prices</t>
        </r>
      </text>
    </comment>
    <comment ref="AA59" authorId="3">
      <text>
        <r>
          <rPr>
            <b/>
            <sz val="9"/>
            <color indexed="81"/>
            <rFont val="Tahoma"/>
            <family val="2"/>
          </rPr>
          <t>Vikash Jalan:</t>
        </r>
        <r>
          <rPr>
            <sz val="9"/>
            <color indexed="81"/>
            <rFont val="Tahoma"/>
            <family val="2"/>
          </rPr>
          <t xml:space="preserve">
On lower prices and operational excellence on working capital management</t>
        </r>
      </text>
    </comment>
    <comment ref="AB59" authorId="3">
      <text>
        <r>
          <rPr>
            <b/>
            <sz val="9"/>
            <color indexed="81"/>
            <rFont val="Tahoma"/>
            <family val="2"/>
          </rPr>
          <t>Vikash Jalan:</t>
        </r>
        <r>
          <rPr>
            <sz val="9"/>
            <color indexed="81"/>
            <rFont val="Tahoma"/>
            <family val="2"/>
          </rPr>
          <t xml:space="preserve">
outflow with higher prices</t>
        </r>
      </text>
    </comment>
    <comment ref="AE59" authorId="3">
      <text>
        <r>
          <rPr>
            <b/>
            <sz val="9"/>
            <color indexed="81"/>
            <rFont val="Tahoma"/>
            <family val="2"/>
          </rPr>
          <t>Vikash Jalan:</t>
        </r>
        <r>
          <rPr>
            <sz val="9"/>
            <color indexed="81"/>
            <rFont val="Tahoma"/>
            <family val="2"/>
          </rPr>
          <t xml:space="preserve">
lower supplier credit as excess cash + rising prices</t>
        </r>
      </text>
    </comment>
    <comment ref="Y61" authorId="3">
      <text>
        <r>
          <rPr>
            <b/>
            <sz val="9"/>
            <color indexed="81"/>
            <rFont val="Tahoma"/>
            <family val="2"/>
          </rPr>
          <t>Vikash Jalan:</t>
        </r>
        <r>
          <rPr>
            <sz val="9"/>
            <color indexed="81"/>
            <rFont val="Tahoma"/>
            <family val="2"/>
          </rPr>
          <t xml:space="preserve">
Higher with the payment for BP Decatur acqusition on 31 March 2016</t>
        </r>
      </text>
    </comment>
    <comment ref="Z61" authorId="3">
      <text>
        <r>
          <rPr>
            <b/>
            <sz val="9"/>
            <color indexed="81"/>
            <rFont val="Tahoma"/>
            <family val="2"/>
          </rPr>
          <t>Vikash Jalan:</t>
        </r>
        <r>
          <rPr>
            <sz val="9"/>
            <color indexed="81"/>
            <rFont val="Tahoma"/>
            <family val="2"/>
          </rPr>
          <t xml:space="preserve">
Higher mainly with the payment for IVL Spain (Cepsa Spain)</t>
        </r>
      </text>
    </comment>
    <comment ref="AA61" authorId="3">
      <text>
        <r>
          <rPr>
            <b/>
            <sz val="9"/>
            <color indexed="81"/>
            <rFont val="Tahoma"/>
            <family val="2"/>
          </rPr>
          <t>Vikash Jalan:</t>
        </r>
        <r>
          <rPr>
            <sz val="9"/>
            <color indexed="81"/>
            <rFont val="Tahoma"/>
            <family val="2"/>
          </rPr>
          <t xml:space="preserve">
Higher mainly with the payment for IVL Spain (Cepsa Spain)</t>
        </r>
      </text>
    </comment>
    <comment ref="AB61" authorId="3">
      <text>
        <r>
          <rPr>
            <b/>
            <sz val="9"/>
            <color indexed="81"/>
            <rFont val="Tahoma"/>
            <family val="2"/>
          </rPr>
          <t>Vikash Jalan:</t>
        </r>
        <r>
          <rPr>
            <sz val="9"/>
            <color indexed="81"/>
            <rFont val="Tahoma"/>
            <family val="2"/>
          </rPr>
          <t xml:space="preserve">
Mainly on US Gas Cracker and PTA expnsion at Rotterdam</t>
        </r>
      </text>
    </comment>
    <comment ref="AC61" authorId="3">
      <text>
        <r>
          <rPr>
            <b/>
            <sz val="9"/>
            <color indexed="81"/>
            <rFont val="Tahoma"/>
            <family val="2"/>
          </rPr>
          <t>Vikash Jalan:</t>
        </r>
        <r>
          <rPr>
            <sz val="9"/>
            <color indexed="81"/>
            <rFont val="Tahoma"/>
            <family val="2"/>
          </rPr>
          <t xml:space="preserve">
Spent on ongoing projects like US Gas Cracker, PTA expansion st Rotterdam etc.</t>
        </r>
      </text>
    </comment>
    <comment ref="AD61" authorId="3">
      <text>
        <r>
          <rPr>
            <b/>
            <sz val="9"/>
            <color indexed="81"/>
            <rFont val="Tahoma"/>
            <family val="2"/>
          </rPr>
          <t>Vikash Jalan:</t>
        </r>
        <r>
          <rPr>
            <sz val="9"/>
            <color indexed="81"/>
            <rFont val="Tahoma"/>
            <family val="2"/>
          </rPr>
          <t xml:space="preserve">
Mainly on Glanztoff acquisition in May, spent on US gas cracker and Rotetrdam PTA expansion</t>
        </r>
      </text>
    </comment>
    <comment ref="Z62" authorId="3">
      <text>
        <r>
          <rPr>
            <b/>
            <sz val="9"/>
            <color indexed="81"/>
            <rFont val="Tahoma"/>
            <family val="2"/>
          </rPr>
          <t>Vikash Jalan:</t>
        </r>
        <r>
          <rPr>
            <sz val="9"/>
            <color indexed="81"/>
            <rFont val="Tahoma"/>
            <family val="2"/>
          </rPr>
          <t xml:space="preserve">
On acquisiton of Aromatics Decatur(BP) and IVL Spain (Cepsa)</t>
        </r>
      </text>
    </comment>
    <comment ref="AA62" authorId="3">
      <text>
        <r>
          <rPr>
            <b/>
            <sz val="9"/>
            <color indexed="81"/>
            <rFont val="Tahoma"/>
            <family val="2"/>
          </rPr>
          <t xml:space="preserve">Vikash Jalan:
</t>
        </r>
        <r>
          <rPr>
            <sz val="9"/>
            <color indexed="81"/>
            <rFont val="Tahoma"/>
            <family val="2"/>
          </rPr>
          <t>Due to Micropet deconsolidation into JV</t>
        </r>
      </text>
    </comment>
    <comment ref="AD62" authorId="3">
      <text>
        <r>
          <rPr>
            <b/>
            <sz val="9"/>
            <color indexed="81"/>
            <rFont val="Tahoma"/>
            <family val="2"/>
          </rPr>
          <t>Vikash Jalan:</t>
        </r>
        <r>
          <rPr>
            <sz val="9"/>
            <color indexed="81"/>
            <rFont val="Tahoma"/>
            <family val="2"/>
          </rPr>
          <t xml:space="preserve">
Glanztoff</t>
        </r>
      </text>
    </comment>
    <comment ref="AB63" authorId="3">
      <text>
        <r>
          <rPr>
            <b/>
            <sz val="9"/>
            <color indexed="81"/>
            <rFont val="Tahoma"/>
            <family val="2"/>
          </rPr>
          <t>Vikash Jalan:</t>
        </r>
        <r>
          <rPr>
            <sz val="9"/>
            <color indexed="81"/>
            <rFont val="Tahoma"/>
            <family val="2"/>
          </rPr>
          <t xml:space="preserve">
High with PTA turnaround in Asia </t>
        </r>
      </text>
    </comment>
    <comment ref="Y65" authorId="3">
      <text>
        <r>
          <rPr>
            <b/>
            <sz val="9"/>
            <color indexed="81"/>
            <rFont val="Tahoma"/>
            <family val="2"/>
          </rPr>
          <t>Vikash Jalan:</t>
        </r>
        <r>
          <rPr>
            <sz val="9"/>
            <color indexed="81"/>
            <rFont val="Tahoma"/>
            <family val="2"/>
          </rPr>
          <t xml:space="preserve">
Lower due to Debentures payments due halfyearly</t>
        </r>
      </text>
    </comment>
    <comment ref="Z65" authorId="3">
      <text>
        <r>
          <rPr>
            <b/>
            <sz val="9"/>
            <color indexed="81"/>
            <rFont val="Tahoma"/>
            <family val="2"/>
          </rPr>
          <t>Vikash Jalan:</t>
        </r>
        <r>
          <rPr>
            <sz val="9"/>
            <color indexed="81"/>
            <rFont val="Tahoma"/>
            <family val="2"/>
          </rPr>
          <t xml:space="preserve">
Higher due to Debentures payments due halfyearly</t>
        </r>
      </text>
    </comment>
    <comment ref="AA65" authorId="3">
      <text>
        <r>
          <rPr>
            <b/>
            <sz val="9"/>
            <color indexed="81"/>
            <rFont val="Tahoma"/>
            <family val="2"/>
          </rPr>
          <t>Vikash Jalan:</t>
        </r>
        <r>
          <rPr>
            <sz val="9"/>
            <color indexed="81"/>
            <rFont val="Tahoma"/>
            <family val="2"/>
          </rPr>
          <t xml:space="preserve">
Higher due to Debentures payments due halfyearly</t>
        </r>
      </text>
    </comment>
    <comment ref="AE68" authorId="3">
      <text>
        <r>
          <rPr>
            <b/>
            <sz val="9"/>
            <color indexed="81"/>
            <rFont val="Tahoma"/>
            <family val="2"/>
          </rPr>
          <t>Vikash Jalan:</t>
        </r>
        <r>
          <rPr>
            <sz val="9"/>
            <color indexed="81"/>
            <rFont val="Tahoma"/>
            <family val="2"/>
          </rPr>
          <t xml:space="preserve">
IVL W1 subscription ~90%</t>
        </r>
      </text>
    </comment>
    <comment ref="G69" authorId="3">
      <text>
        <r>
          <rPr>
            <b/>
            <sz val="9"/>
            <color indexed="81"/>
            <rFont val="Tahoma"/>
            <family val="2"/>
          </rPr>
          <t xml:space="preserve">Vikash Jalan:
</t>
        </r>
        <r>
          <rPr>
            <sz val="9"/>
            <color indexed="81"/>
            <rFont val="Tahoma"/>
            <family val="2"/>
          </rPr>
          <t>IVL has call option in 2019</t>
        </r>
      </text>
    </comment>
    <comment ref="A71" authorId="3">
      <text>
        <r>
          <rPr>
            <b/>
            <sz val="9"/>
            <color indexed="81"/>
            <rFont val="Tahoma"/>
            <family val="2"/>
          </rPr>
          <t>Vikash Jalan:</t>
        </r>
        <r>
          <rPr>
            <sz val="9"/>
            <color indexed="81"/>
            <rFont val="Tahoma"/>
            <family val="2"/>
          </rPr>
          <t xml:space="preserve">
this represent FX impact on net debt, however this is netted off  by the corrosponding gain or loss in the assets as we have natural hedge due to our global presence, for example US$ debts volatility will be mitigated by US$ assets volaitity in opposite direction and so on. </t>
        </r>
      </text>
    </comment>
    <comment ref="AA71" authorId="3">
      <text>
        <r>
          <rPr>
            <b/>
            <sz val="9"/>
            <color indexed="81"/>
            <rFont val="Tahoma"/>
            <family val="2"/>
          </rPr>
          <t>Vikash Jalan:</t>
        </r>
        <r>
          <rPr>
            <sz val="9"/>
            <color indexed="81"/>
            <rFont val="Tahoma"/>
            <family val="2"/>
          </rPr>
          <t xml:space="preserve">
Natural Hedge with Assets</t>
        </r>
      </text>
    </comment>
    <comment ref="T75" authorId="2">
      <text>
        <r>
          <rPr>
            <b/>
            <sz val="9"/>
            <color indexed="81"/>
            <rFont val="Tahoma"/>
            <family val="2"/>
          </rPr>
          <t>Vikash:</t>
        </r>
        <r>
          <rPr>
            <sz val="9"/>
            <color indexed="81"/>
            <rFont val="Tahoma"/>
            <family val="2"/>
          </rPr>
          <t xml:space="preserve">
Due to PTA planned Turnaround</t>
        </r>
      </text>
    </comment>
  </commentList>
</comments>
</file>

<file path=xl/sharedStrings.xml><?xml version="1.0" encoding="utf-8"?>
<sst xmlns="http://schemas.openxmlformats.org/spreadsheetml/2006/main" count="168" uniqueCount="113">
  <si>
    <t>8th Nov 2018</t>
  </si>
  <si>
    <t>Financials in Thai Baht (THB)</t>
  </si>
  <si>
    <t>2013(R)</t>
  </si>
  <si>
    <t>2014(R)</t>
  </si>
  <si>
    <t>LTM
3Q17</t>
  </si>
  <si>
    <t>LTM
3Q18</t>
  </si>
  <si>
    <t>1Q13</t>
  </si>
  <si>
    <t>2Q13</t>
  </si>
  <si>
    <t>3Q13</t>
  </si>
  <si>
    <t>4Q13</t>
  </si>
  <si>
    <t>1Q14(R)</t>
  </si>
  <si>
    <t>2Q14(R)</t>
  </si>
  <si>
    <t>3Q14(R)</t>
  </si>
  <si>
    <t>4Q14(R)</t>
  </si>
  <si>
    <t>1Q15(R)</t>
  </si>
  <si>
    <t>2Q15(R)</t>
  </si>
  <si>
    <t>3Q15(R)</t>
  </si>
  <si>
    <t>4Q15</t>
  </si>
  <si>
    <t>1Q16</t>
  </si>
  <si>
    <t>2Q16</t>
  </si>
  <si>
    <t>3Q16</t>
  </si>
  <si>
    <t>4Q16</t>
  </si>
  <si>
    <t>1Q17</t>
  </si>
  <si>
    <t>2Q17</t>
  </si>
  <si>
    <t>3Q17</t>
  </si>
  <si>
    <t>4Q17</t>
  </si>
  <si>
    <t>1Q18</t>
  </si>
  <si>
    <t>2Q18</t>
  </si>
  <si>
    <t>3Q18</t>
  </si>
  <si>
    <t>1H16</t>
  </si>
  <si>
    <t>2H16</t>
  </si>
  <si>
    <t>1H17</t>
  </si>
  <si>
    <t>2H17</t>
  </si>
  <si>
    <t>1H18</t>
  </si>
  <si>
    <t>2018B</t>
  </si>
  <si>
    <t>1Q18B</t>
  </si>
  <si>
    <t>2Q18B</t>
  </si>
  <si>
    <t>3Q18B</t>
  </si>
  <si>
    <t>4Q18B</t>
  </si>
  <si>
    <t>Capacity &amp; Operating Rates</t>
  </si>
  <si>
    <t>Installed Capacity (On the closing date of the period)</t>
  </si>
  <si>
    <t>MMT</t>
  </si>
  <si>
    <t>Effective Capacity (Effectively available for the period)</t>
  </si>
  <si>
    <t>Production</t>
  </si>
  <si>
    <t>Utilization %</t>
  </si>
  <si>
    <t>%</t>
  </si>
  <si>
    <t xml:space="preserve">Average Exchange Rate </t>
  </si>
  <si>
    <t>THB/$</t>
  </si>
  <si>
    <t>Core Financials (Normalised extra items)</t>
  </si>
  <si>
    <t>Revenue</t>
  </si>
  <si>
    <t>M THB</t>
  </si>
  <si>
    <t>EBITDA</t>
  </si>
  <si>
    <t>Depreciation &amp; Amortization</t>
  </si>
  <si>
    <t>EBIT</t>
  </si>
  <si>
    <t>Net Finance Costs</t>
  </si>
  <si>
    <t>Share of JV Income/(Loss)</t>
  </si>
  <si>
    <t>Profit Before Taxes</t>
  </si>
  <si>
    <t>Current Tax</t>
  </si>
  <si>
    <t>Deferred Tax</t>
  </si>
  <si>
    <t>Tax adjustment on inventory gain/(loss)</t>
  </si>
  <si>
    <t>Profit After Taxes</t>
  </si>
  <si>
    <t>Non Controlling Interests (NCI)</t>
  </si>
  <si>
    <t>NP after Tax &amp; NCI</t>
  </si>
  <si>
    <t>Effective total tax rate %</t>
  </si>
  <si>
    <t>Effective current tax rate %</t>
  </si>
  <si>
    <t>Interest on PERP</t>
  </si>
  <si>
    <t>Effective number of shares</t>
  </si>
  <si>
    <t>MM</t>
  </si>
  <si>
    <t>Core EPS</t>
  </si>
  <si>
    <t>THB</t>
  </si>
  <si>
    <t>Reported Financials (Acccounting basis)</t>
  </si>
  <si>
    <t>Inventory Gain/(Loss)</t>
  </si>
  <si>
    <t>Reported EBITDA</t>
  </si>
  <si>
    <t>Extraordinary Income/(Expenses)</t>
  </si>
  <si>
    <t xml:space="preserve">  Acquisition cost &amp; pre-operative expense</t>
  </si>
  <si>
    <t xml:space="preserve">  Gain on Bargain Purchases, impairments and feasibility (Net)* </t>
  </si>
  <si>
    <t xml:space="preserve">  Other Extraordinary Income/(Expense)</t>
  </si>
  <si>
    <t>Reported NP after NCI</t>
  </si>
  <si>
    <t>Reported EPS</t>
  </si>
  <si>
    <t>Financial Position and Gearing</t>
  </si>
  <si>
    <t>Total Debt</t>
  </si>
  <si>
    <t xml:space="preserve">Cash &amp; Cash under management </t>
  </si>
  <si>
    <t>Net Debt</t>
  </si>
  <si>
    <t>Capex on Projects which are not operational yet</t>
  </si>
  <si>
    <t>Net Operating Debt</t>
  </si>
  <si>
    <t>Total Equity</t>
  </si>
  <si>
    <t xml:space="preserve">  Total equity attributable to shareholders</t>
  </si>
  <si>
    <t xml:space="preserve">  Non Controlling Interests</t>
  </si>
  <si>
    <t xml:space="preserve">  Subordinated perpetual debentures</t>
  </si>
  <si>
    <t>Net Operating D/E</t>
  </si>
  <si>
    <t>times</t>
  </si>
  <si>
    <t>Net Operating Capital Employed</t>
  </si>
  <si>
    <t>Cash Flow Statement</t>
  </si>
  <si>
    <t>Core EBITDA</t>
  </si>
  <si>
    <t>Net working capital and others</t>
  </si>
  <si>
    <t>Operating cash flow (OCF) before tax</t>
  </si>
  <si>
    <t>Net growth &amp; investment capex</t>
  </si>
  <si>
    <t>Net Working Capital on acquired/sold Asset</t>
  </si>
  <si>
    <t>Maintenance capex</t>
  </si>
  <si>
    <t>Cash Flow after Strategic Spending</t>
  </si>
  <si>
    <t>Net financial cost</t>
  </si>
  <si>
    <t>Cash income tax</t>
  </si>
  <si>
    <t>Dividends and PERP interest</t>
  </si>
  <si>
    <t>Proceeds from issue of ordinary shares due to warrants exercised</t>
  </si>
  <si>
    <t xml:space="preserve">Proceed from perpetual debentures </t>
  </si>
  <si>
    <t>(Increase)/Decrease in Net Debt on cash basis</t>
  </si>
  <si>
    <t>Exchange rate movement on Net Debt (Natural Hedge against Assets)</t>
  </si>
  <si>
    <t>(Increase)/Decrease in Net Debt as per Balance Sheet</t>
  </si>
  <si>
    <t>Check</t>
  </si>
  <si>
    <t>OCF/Net Operating Capital Employed</t>
  </si>
  <si>
    <t>Maintenance Capex as % of Depreciation</t>
  </si>
  <si>
    <t>Note:Some of the historical financials have been restated in 4Q15 due to change in revaluation policy of IVL as per new Thai accounting standard. The changes are not material. Though we have restated the yearly numbers. Hence the sum of quarters may not tally with yearly figure by minor amounts.  Excluding Feedstock price adjustment for captive sales to PET on freight saving. There is no impact on regional or consolidated EBITDA.</t>
  </si>
  <si>
    <r>
      <t xml:space="preserve">We have provided the excel information in good faith to help you to see the public information at one place. Please however always rely on our published MD&amp;A and FS to SET at each time for making any decision. Further on the forecasting tool, we have tried to make it simple and for your reference only. We have not provided any future assumptions. You may make/change the forecasts as you may deem fit. </t>
    </r>
    <r>
      <rPr>
        <b/>
        <sz val="12"/>
        <color rgb="FF1F497D"/>
        <rFont val="Times New Roman"/>
        <family val="1"/>
      </rPr>
      <t>IVL cannot be held responsible for any errors that might occur when using this workbook.</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</si>
</sst>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0000_);[Red]\(#,##0.0000\)"/>
    <numFmt numFmtId="165" formatCode="_(* #,##0.000000_);_(* \(#,##0.000000\);_(* &quot;-&quot;??_);_(@_)"/>
    <numFmt numFmtId="166" formatCode="_(* #,##0_);_(* \(#,##0\);_(* &quot;-&quot;??_);_(@_)"/>
    <numFmt numFmtId="167" formatCode="_(* #,##0.0_);_(* \(#,##0.0\);_(* &quot;-&quot;??_);_(@_)"/>
    <numFmt numFmtId="168" formatCode="#,##0.000_);[Red]\(#,##0.000\)"/>
    <numFmt numFmtId="169" formatCode="#,##0%;[Red]\(#,##0\)%"/>
    <numFmt numFmtId="170" formatCode="_-* #,##0.00_-;\-* #,##0.00_-;_-* &quot;-&quot;??_-;_-@_-"/>
  </numFmts>
  <fonts count="20">
    <font>
      <sz val="11"/>
      <color theme="1"/>
      <name val="Calibri"/>
      <family val="2"/>
      <scheme val="minor"/>
    </font>
    <font>
      <sz val="11"/>
      <color theme="1"/>
      <name val="Calibri"/>
      <family val="2"/>
      <scheme val="minor"/>
    </font>
    <font>
      <b/>
      <sz val="12"/>
      <color theme="1"/>
      <name val="Times New Roman"/>
      <family val="1"/>
    </font>
    <font>
      <sz val="10"/>
      <color theme="1"/>
      <name val="Times New Roman"/>
      <family val="1"/>
    </font>
    <font>
      <b/>
      <sz val="22"/>
      <color theme="1"/>
      <name val="Times New Roman"/>
      <family val="1"/>
    </font>
    <font>
      <b/>
      <sz val="10"/>
      <color theme="1"/>
      <name val="Times New Roman"/>
      <family val="1"/>
    </font>
    <font>
      <b/>
      <sz val="20"/>
      <color theme="1"/>
      <name val="Times New Roman"/>
      <family val="1"/>
    </font>
    <font>
      <sz val="11"/>
      <color theme="1"/>
      <name val="Times New Roman"/>
      <family val="1"/>
    </font>
    <font>
      <sz val="10"/>
      <color indexed="8"/>
      <name val="Times New Roman"/>
      <family val="1"/>
    </font>
    <font>
      <sz val="10"/>
      <color rgb="FF000000"/>
      <name val="Times New Roman"/>
      <family val="1"/>
    </font>
    <font>
      <b/>
      <sz val="12"/>
      <color rgb="FF1F497D"/>
      <name val="Times New Roman"/>
      <family val="1"/>
    </font>
    <font>
      <b/>
      <sz val="10"/>
      <color theme="1" tint="0.34998626667073579"/>
      <name val="Times New Roman"/>
      <family val="1"/>
    </font>
    <font>
      <b/>
      <sz val="9"/>
      <color indexed="81"/>
      <name val="Tahoma"/>
      <family val="2"/>
    </font>
    <font>
      <sz val="9"/>
      <color indexed="81"/>
      <name val="Tahoma"/>
      <family val="2"/>
    </font>
    <font>
      <sz val="10"/>
      <name val="Arial"/>
      <family val="2"/>
    </font>
    <font>
      <sz val="10"/>
      <name val="Arial"/>
      <family val="2"/>
      <charset val="222"/>
    </font>
    <font>
      <b/>
      <sz val="8"/>
      <color indexed="8"/>
      <name val="Arial"/>
      <family val="2"/>
      <charset val="222"/>
    </font>
    <font>
      <b/>
      <sz val="8"/>
      <color indexed="8"/>
      <name val="Arial"/>
      <family val="2"/>
    </font>
    <font>
      <sz val="8"/>
      <color indexed="8"/>
      <name val="Arial"/>
      <family val="2"/>
      <charset val="222"/>
    </font>
    <font>
      <sz val="8"/>
      <color indexed="12"/>
      <name val="Arial"/>
      <family val="2"/>
      <charset val="222"/>
    </font>
  </fonts>
  <fills count="13">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lightTrellis">
        <bgColor theme="0"/>
      </patternFill>
    </fill>
    <fill>
      <patternFill patternType="lightTrellis">
        <bgColor theme="6" tint="0.79998168889431442"/>
      </patternFill>
    </fill>
    <fill>
      <patternFill patternType="lightTrellis">
        <bgColor theme="4" tint="0.79998168889431442"/>
      </patternFill>
    </fill>
    <fill>
      <patternFill patternType="solid">
        <fgColor theme="6" tint="0.59999389629810485"/>
        <bgColor indexed="64"/>
      </patternFill>
    </fill>
    <fill>
      <patternFill patternType="solid">
        <fgColor theme="0"/>
        <bgColor rgb="FF000000"/>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auto="1"/>
      </right>
      <top/>
      <bottom style="thin">
        <color indexed="64"/>
      </bottom>
      <diagonal/>
    </border>
    <border>
      <left/>
      <right style="thin">
        <color indexed="64"/>
      </right>
      <top style="thin">
        <color indexed="64"/>
      </top>
      <bottom/>
      <diagonal/>
    </border>
  </borders>
  <cellStyleXfs count="15">
    <xf numFmtId="0" fontId="0" fillId="0" borderId="0"/>
    <xf numFmtId="43" fontId="1" fillId="0" borderId="0" applyFont="0" applyFill="0" applyBorder="0" applyAlignment="0" applyProtection="0"/>
    <xf numFmtId="9"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0" fontId="14" fillId="0" borderId="0"/>
    <xf numFmtId="0" fontId="15" fillId="0" borderId="0"/>
    <xf numFmtId="9" fontId="14"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Protection="0">
      <alignment horizontal="center"/>
    </xf>
    <xf numFmtId="0" fontId="16" fillId="0" borderId="0" applyNumberFormat="0" applyFill="0" applyBorder="0" applyProtection="0">
      <alignment horizontal="center"/>
    </xf>
    <xf numFmtId="4" fontId="18" fillId="0" borderId="0" applyFill="0" applyBorder="0" applyAlignment="0" applyProtection="0"/>
    <xf numFmtId="4" fontId="19" fillId="0" borderId="0" applyFill="0" applyBorder="0" applyAlignment="0" applyProtection="0"/>
  </cellStyleXfs>
  <cellXfs count="165">
    <xf numFmtId="0" fontId="0" fillId="0" borderId="0" xfId="0"/>
    <xf numFmtId="0" fontId="2" fillId="2" borderId="0" xfId="0" applyFont="1" applyFill="1" applyAlignment="1">
      <alignment horizontal="right"/>
    </xf>
    <xf numFmtId="0" fontId="3" fillId="2" borderId="0" xfId="0" applyFont="1" applyFill="1" applyAlignment="1">
      <alignment horizontal="center"/>
    </xf>
    <xf numFmtId="0" fontId="3" fillId="2" borderId="0" xfId="0" applyFont="1" applyFill="1"/>
    <xf numFmtId="0" fontId="3" fillId="0" borderId="0" xfId="0" applyFont="1"/>
    <xf numFmtId="0" fontId="4" fillId="2" borderId="0" xfId="0" applyFont="1" applyFill="1"/>
    <xf numFmtId="0" fontId="5" fillId="2" borderId="0" xfId="0" applyFont="1" applyFill="1" applyAlignment="1">
      <alignment horizontal="center"/>
    </xf>
    <xf numFmtId="0" fontId="5" fillId="3" borderId="1" xfId="0" applyFont="1" applyFill="1" applyBorder="1" applyAlignment="1">
      <alignment horizontal="center" wrapText="1"/>
    </xf>
    <xf numFmtId="0" fontId="5" fillId="3" borderId="1" xfId="0" quotePrefix="1" applyFont="1" applyFill="1" applyBorder="1" applyAlignment="1">
      <alignment horizontal="center" wrapText="1"/>
    </xf>
    <xf numFmtId="0" fontId="5" fillId="3" borderId="2" xfId="0" applyFont="1" applyFill="1" applyBorder="1" applyAlignment="1">
      <alignment horizontal="center" wrapText="1"/>
    </xf>
    <xf numFmtId="0" fontId="5" fillId="4" borderId="3" xfId="0" applyFont="1" applyFill="1" applyBorder="1" applyAlignment="1">
      <alignment horizontal="center" wrapText="1"/>
    </xf>
    <xf numFmtId="0" fontId="5" fillId="4" borderId="1" xfId="0" applyFont="1" applyFill="1" applyBorder="1" applyAlignment="1">
      <alignment horizontal="center" wrapText="1"/>
    </xf>
    <xf numFmtId="0" fontId="5" fillId="4" borderId="1" xfId="0" quotePrefix="1" applyFont="1" applyFill="1" applyBorder="1" applyAlignment="1">
      <alignment horizontal="center" wrapText="1"/>
    </xf>
    <xf numFmtId="0" fontId="5" fillId="5" borderId="1" xfId="0" applyFont="1" applyFill="1" applyBorder="1" applyAlignment="1">
      <alignment horizontal="center" wrapText="1"/>
    </xf>
    <xf numFmtId="0" fontId="6" fillId="6" borderId="0" xfId="0" applyFont="1" applyFill="1" applyBorder="1"/>
    <xf numFmtId="38" fontId="7" fillId="6" borderId="0" xfId="0" applyNumberFormat="1" applyFont="1" applyFill="1" applyBorder="1" applyAlignment="1">
      <alignment horizontal="center"/>
    </xf>
    <xf numFmtId="38" fontId="7" fillId="6" borderId="0" xfId="0" applyNumberFormat="1" applyFont="1" applyFill="1" applyBorder="1"/>
    <xf numFmtId="43" fontId="7" fillId="6" borderId="0" xfId="1" applyFont="1" applyFill="1" applyBorder="1"/>
    <xf numFmtId="43" fontId="7" fillId="6" borderId="4" xfId="1" applyFont="1" applyFill="1" applyBorder="1"/>
    <xf numFmtId="38" fontId="7" fillId="3" borderId="5" xfId="0" applyNumberFormat="1" applyFont="1" applyFill="1" applyBorder="1"/>
    <xf numFmtId="164" fontId="7" fillId="6" borderId="0" xfId="0" applyNumberFormat="1" applyFont="1" applyFill="1" applyBorder="1"/>
    <xf numFmtId="38" fontId="7" fillId="4" borderId="5" xfId="0" applyNumberFormat="1" applyFont="1" applyFill="1" applyBorder="1"/>
    <xf numFmtId="0" fontId="7" fillId="2" borderId="0" xfId="0" applyFont="1" applyFill="1" applyBorder="1"/>
    <xf numFmtId="43" fontId="3" fillId="2" borderId="0" xfId="1" applyNumberFormat="1" applyFont="1" applyFill="1"/>
    <xf numFmtId="43" fontId="3" fillId="7" borderId="4" xfId="1" applyFont="1" applyFill="1" applyBorder="1" applyAlignment="1">
      <alignment horizontal="center"/>
    </xf>
    <xf numFmtId="43" fontId="3" fillId="8" borderId="5" xfId="1" applyFont="1" applyFill="1" applyBorder="1" applyAlignment="1">
      <alignment horizontal="center"/>
    </xf>
    <xf numFmtId="43" fontId="3" fillId="7" borderId="0" xfId="1" applyFont="1" applyFill="1"/>
    <xf numFmtId="43" fontId="3" fillId="7" borderId="0" xfId="1" applyFont="1" applyFill="1" applyAlignment="1">
      <alignment horizontal="center"/>
    </xf>
    <xf numFmtId="43" fontId="3" fillId="9" borderId="5" xfId="1" applyFont="1" applyFill="1" applyBorder="1" applyAlignment="1">
      <alignment horizontal="center"/>
    </xf>
    <xf numFmtId="43" fontId="3" fillId="9" borderId="0" xfId="1" applyFont="1" applyFill="1" applyAlignment="1">
      <alignment horizontal="center"/>
    </xf>
    <xf numFmtId="43" fontId="3" fillId="2" borderId="0" xfId="1" applyFont="1" applyFill="1"/>
    <xf numFmtId="43" fontId="3" fillId="2" borderId="5" xfId="1" applyNumberFormat="1" applyFont="1" applyFill="1" applyBorder="1"/>
    <xf numFmtId="43" fontId="3" fillId="3" borderId="5" xfId="1" applyNumberFormat="1" applyFont="1" applyFill="1" applyBorder="1"/>
    <xf numFmtId="43" fontId="3" fillId="2" borderId="0" xfId="1" applyNumberFormat="1" applyFont="1" applyFill="1" applyAlignment="1">
      <alignment horizontal="center"/>
    </xf>
    <xf numFmtId="43" fontId="3" fillId="2" borderId="0" xfId="1" applyFont="1" applyFill="1" applyBorder="1" applyAlignment="1">
      <alignment horizontal="center"/>
    </xf>
    <xf numFmtId="43" fontId="3" fillId="2" borderId="0" xfId="1" applyFont="1" applyFill="1" applyAlignment="1">
      <alignment horizontal="center"/>
    </xf>
    <xf numFmtId="43" fontId="3" fillId="4" borderId="5" xfId="1" applyNumberFormat="1" applyFont="1" applyFill="1" applyBorder="1" applyAlignment="1">
      <alignment horizontal="center"/>
    </xf>
    <xf numFmtId="165" fontId="3" fillId="2" borderId="0" xfId="1" applyNumberFormat="1" applyFont="1" applyFill="1"/>
    <xf numFmtId="43" fontId="3" fillId="2" borderId="6" xfId="1" applyFont="1" applyFill="1" applyBorder="1"/>
    <xf numFmtId="43" fontId="3" fillId="2" borderId="7" xfId="1" applyFont="1" applyFill="1" applyBorder="1"/>
    <xf numFmtId="43" fontId="3" fillId="3" borderId="7" xfId="1" applyFont="1" applyFill="1" applyBorder="1"/>
    <xf numFmtId="43" fontId="3" fillId="2" borderId="6" xfId="1" applyFont="1" applyFill="1" applyBorder="1" applyAlignment="1">
      <alignment horizontal="center"/>
    </xf>
    <xf numFmtId="43" fontId="3" fillId="2" borderId="6" xfId="1" applyNumberFormat="1" applyFont="1" applyFill="1" applyBorder="1" applyAlignment="1">
      <alignment horizontal="center"/>
    </xf>
    <xf numFmtId="43" fontId="3" fillId="4" borderId="7" xfId="1" applyFont="1" applyFill="1" applyBorder="1" applyAlignment="1">
      <alignment horizontal="center"/>
    </xf>
    <xf numFmtId="9" fontId="5" fillId="2" borderId="0" xfId="2" applyFont="1" applyFill="1"/>
    <xf numFmtId="9" fontId="5" fillId="2" borderId="0" xfId="2" applyFont="1" applyFill="1" applyAlignment="1">
      <alignment horizontal="center"/>
    </xf>
    <xf numFmtId="9" fontId="5" fillId="2" borderId="0" xfId="2" applyFont="1" applyFill="1" applyAlignment="1">
      <alignment horizontal="right"/>
    </xf>
    <xf numFmtId="9" fontId="5" fillId="2" borderId="0" xfId="2" applyNumberFormat="1" applyFont="1" applyFill="1" applyAlignment="1">
      <alignment horizontal="right"/>
    </xf>
    <xf numFmtId="9" fontId="5" fillId="2" borderId="5" xfId="2" applyNumberFormat="1" applyFont="1" applyFill="1" applyBorder="1" applyAlignment="1">
      <alignment horizontal="right"/>
    </xf>
    <xf numFmtId="9" fontId="5" fillId="3" borderId="5" xfId="2" applyNumberFormat="1" applyFont="1" applyFill="1" applyBorder="1" applyAlignment="1">
      <alignment horizontal="right"/>
    </xf>
    <xf numFmtId="9" fontId="5" fillId="2" borderId="0" xfId="2" applyFont="1" applyFill="1" applyBorder="1" applyAlignment="1">
      <alignment horizontal="right"/>
    </xf>
    <xf numFmtId="9" fontId="5" fillId="4" borderId="5" xfId="2" applyFont="1" applyFill="1" applyBorder="1" applyAlignment="1">
      <alignment horizontal="right"/>
    </xf>
    <xf numFmtId="166" fontId="5" fillId="2" borderId="0" xfId="1" applyNumberFormat="1" applyFont="1" applyFill="1"/>
    <xf numFmtId="43" fontId="3" fillId="2" borderId="5" xfId="1" applyFont="1" applyFill="1" applyBorder="1"/>
    <xf numFmtId="43" fontId="3" fillId="3" borderId="5" xfId="1" applyFont="1" applyFill="1" applyBorder="1"/>
    <xf numFmtId="2" fontId="3" fillId="2" borderId="0" xfId="1" applyNumberFormat="1" applyFont="1" applyFill="1"/>
    <xf numFmtId="2" fontId="3" fillId="2" borderId="0" xfId="1" applyNumberFormat="1" applyFont="1" applyFill="1" applyBorder="1"/>
    <xf numFmtId="2" fontId="3" fillId="4" borderId="5" xfId="1" applyNumberFormat="1" applyFont="1" applyFill="1" applyBorder="1"/>
    <xf numFmtId="43" fontId="3" fillId="2" borderId="0" xfId="1" applyFont="1" applyFill="1" applyBorder="1"/>
    <xf numFmtId="43" fontId="7" fillId="6" borderId="5" xfId="1" applyFont="1" applyFill="1" applyBorder="1"/>
    <xf numFmtId="43" fontId="7" fillId="3" borderId="5" xfId="1" applyFont="1" applyFill="1" applyBorder="1"/>
    <xf numFmtId="9" fontId="3" fillId="2" borderId="0" xfId="2" applyFont="1" applyFill="1"/>
    <xf numFmtId="9" fontId="3" fillId="2" borderId="5" xfId="2" applyFont="1" applyFill="1" applyBorder="1"/>
    <xf numFmtId="9" fontId="3" fillId="3" borderId="5" xfId="2" applyFont="1" applyFill="1" applyBorder="1"/>
    <xf numFmtId="9" fontId="3" fillId="2" borderId="0" xfId="2" applyFont="1" applyFill="1" applyAlignment="1">
      <alignment horizontal="right"/>
    </xf>
    <xf numFmtId="166" fontId="3" fillId="2" borderId="0" xfId="1" applyNumberFormat="1" applyFont="1" applyFill="1" applyAlignment="1">
      <alignment horizontal="right"/>
    </xf>
    <xf numFmtId="167" fontId="3" fillId="2" borderId="0" xfId="1" applyNumberFormat="1" applyFont="1" applyFill="1" applyAlignment="1">
      <alignment horizontal="right"/>
    </xf>
    <xf numFmtId="166" fontId="3" fillId="2" borderId="0" xfId="1" applyNumberFormat="1" applyFont="1" applyFill="1" applyBorder="1" applyAlignment="1">
      <alignment horizontal="right"/>
    </xf>
    <xf numFmtId="166" fontId="3" fillId="4" borderId="5" xfId="1" applyNumberFormat="1" applyFont="1" applyFill="1" applyBorder="1" applyAlignment="1">
      <alignment horizontal="right"/>
    </xf>
    <xf numFmtId="38" fontId="5" fillId="6" borderId="0" xfId="0" applyNumberFormat="1" applyFont="1" applyFill="1"/>
    <xf numFmtId="38" fontId="5" fillId="6" borderId="0" xfId="0" applyNumberFormat="1" applyFont="1" applyFill="1" applyAlignment="1">
      <alignment horizontal="center"/>
    </xf>
    <xf numFmtId="38" fontId="5" fillId="6" borderId="0" xfId="1" applyNumberFormat="1" applyFont="1" applyFill="1" applyAlignment="1">
      <alignment horizontal="right"/>
    </xf>
    <xf numFmtId="38" fontId="5" fillId="6" borderId="5" xfId="1" applyNumberFormat="1" applyFont="1" applyFill="1" applyBorder="1" applyAlignment="1">
      <alignment horizontal="right"/>
    </xf>
    <xf numFmtId="38" fontId="5" fillId="3" borderId="5" xfId="1" applyNumberFormat="1" applyFont="1" applyFill="1" applyBorder="1" applyAlignment="1">
      <alignment horizontal="right"/>
    </xf>
    <xf numFmtId="38" fontId="5" fillId="6" borderId="0" xfId="1" applyNumberFormat="1" applyFont="1" applyFill="1" applyBorder="1" applyAlignment="1">
      <alignment horizontal="right"/>
    </xf>
    <xf numFmtId="38" fontId="5" fillId="4" borderId="5" xfId="1" applyNumberFormat="1" applyFont="1" applyFill="1" applyBorder="1" applyAlignment="1">
      <alignment horizontal="right"/>
    </xf>
    <xf numFmtId="38" fontId="3" fillId="6" borderId="0" xfId="1" applyNumberFormat="1" applyFont="1" applyFill="1" applyAlignment="1">
      <alignment horizontal="right"/>
    </xf>
    <xf numFmtId="38" fontId="5" fillId="2" borderId="0" xfId="0" applyNumberFormat="1" applyFont="1" applyFill="1"/>
    <xf numFmtId="38" fontId="3" fillId="2" borderId="0" xfId="0" applyNumberFormat="1" applyFont="1" applyFill="1"/>
    <xf numFmtId="38" fontId="3" fillId="2" borderId="0" xfId="0" applyNumberFormat="1" applyFont="1" applyFill="1" applyAlignment="1">
      <alignment horizontal="center"/>
    </xf>
    <xf numFmtId="38" fontId="3" fillId="2" borderId="6" xfId="1" applyNumberFormat="1" applyFont="1" applyFill="1" applyBorder="1" applyAlignment="1">
      <alignment horizontal="right"/>
    </xf>
    <xf numFmtId="38" fontId="3" fillId="2" borderId="7" xfId="1" applyNumberFormat="1" applyFont="1" applyFill="1" applyBorder="1" applyAlignment="1">
      <alignment horizontal="right"/>
    </xf>
    <xf numFmtId="38" fontId="3" fillId="3" borderId="7" xfId="1" applyNumberFormat="1" applyFont="1" applyFill="1" applyBorder="1" applyAlignment="1">
      <alignment horizontal="right"/>
    </xf>
    <xf numFmtId="38" fontId="3" fillId="4" borderId="7" xfId="1" applyNumberFormat="1" applyFont="1" applyFill="1" applyBorder="1" applyAlignment="1">
      <alignment horizontal="right"/>
    </xf>
    <xf numFmtId="38" fontId="3" fillId="2" borderId="0" xfId="1" applyNumberFormat="1" applyFont="1" applyFill="1" applyAlignment="1">
      <alignment horizontal="right"/>
    </xf>
    <xf numFmtId="38" fontId="3" fillId="2" borderId="5" xfId="1" applyNumberFormat="1" applyFont="1" applyFill="1" applyBorder="1" applyAlignment="1">
      <alignment horizontal="right"/>
    </xf>
    <xf numFmtId="38" fontId="3" fillId="3" borderId="5" xfId="1" applyNumberFormat="1" applyFont="1" applyFill="1" applyBorder="1" applyAlignment="1">
      <alignment horizontal="right"/>
    </xf>
    <xf numFmtId="38" fontId="3" fillId="2" borderId="0" xfId="1" applyNumberFormat="1" applyFont="1" applyFill="1" applyBorder="1" applyAlignment="1">
      <alignment horizontal="right"/>
    </xf>
    <xf numFmtId="38" fontId="3" fillId="4" borderId="5" xfId="1" applyNumberFormat="1" applyFont="1" applyFill="1" applyBorder="1" applyAlignment="1">
      <alignment horizontal="right"/>
    </xf>
    <xf numFmtId="168" fontId="3" fillId="2" borderId="0" xfId="1" applyNumberFormat="1" applyFont="1" applyFill="1" applyAlignment="1">
      <alignment horizontal="right"/>
    </xf>
    <xf numFmtId="169" fontId="5" fillId="2" borderId="0" xfId="0" applyNumberFormat="1" applyFont="1" applyFill="1"/>
    <xf numFmtId="169" fontId="5" fillId="2" borderId="0" xfId="0" applyNumberFormat="1" applyFont="1" applyFill="1" applyAlignment="1">
      <alignment horizontal="center"/>
    </xf>
    <xf numFmtId="169" fontId="5" fillId="2" borderId="0" xfId="2" applyNumberFormat="1" applyFont="1" applyFill="1" applyAlignment="1">
      <alignment horizontal="right"/>
    </xf>
    <xf numFmtId="169" fontId="5" fillId="2" borderId="5" xfId="2" applyNumberFormat="1" applyFont="1" applyFill="1" applyBorder="1" applyAlignment="1">
      <alignment horizontal="right"/>
    </xf>
    <xf numFmtId="169" fontId="5" fillId="3" borderId="5" xfId="2" applyNumberFormat="1" applyFont="1" applyFill="1" applyBorder="1" applyAlignment="1">
      <alignment horizontal="right"/>
    </xf>
    <xf numFmtId="169" fontId="5" fillId="2" borderId="0" xfId="2" applyNumberFormat="1" applyFont="1" applyFill="1" applyBorder="1" applyAlignment="1">
      <alignment horizontal="right"/>
    </xf>
    <xf numFmtId="169" fontId="5" fillId="4" borderId="5" xfId="2" applyNumberFormat="1" applyFont="1" applyFill="1" applyBorder="1" applyAlignment="1">
      <alignment horizontal="right"/>
    </xf>
    <xf numFmtId="169" fontId="5" fillId="10" borderId="0" xfId="2" applyNumberFormat="1" applyFont="1" applyFill="1" applyAlignment="1">
      <alignment horizontal="right"/>
    </xf>
    <xf numFmtId="0" fontId="8" fillId="2" borderId="0" xfId="0" applyFont="1" applyFill="1"/>
    <xf numFmtId="0" fontId="8" fillId="2" borderId="0" xfId="0" applyFont="1" applyFill="1" applyAlignment="1">
      <alignment horizontal="center"/>
    </xf>
    <xf numFmtId="166" fontId="8" fillId="2" borderId="0" xfId="1" applyNumberFormat="1" applyFont="1" applyFill="1"/>
    <xf numFmtId="166" fontId="8" fillId="2" borderId="5" xfId="1" applyNumberFormat="1" applyFont="1" applyFill="1" applyBorder="1"/>
    <xf numFmtId="166" fontId="8" fillId="3" borderId="5" xfId="1" applyNumberFormat="1" applyFont="1" applyFill="1" applyBorder="1"/>
    <xf numFmtId="166" fontId="8" fillId="2" borderId="0" xfId="2" applyNumberFormat="1" applyFont="1" applyFill="1" applyAlignment="1">
      <alignment horizontal="right"/>
    </xf>
    <xf numFmtId="40" fontId="3" fillId="2" borderId="0" xfId="1" applyNumberFormat="1" applyFont="1" applyFill="1" applyAlignment="1">
      <alignment horizontal="right"/>
    </xf>
    <xf numFmtId="40" fontId="3" fillId="2" borderId="5" xfId="1" applyNumberFormat="1" applyFont="1" applyFill="1" applyBorder="1" applyAlignment="1">
      <alignment horizontal="right"/>
    </xf>
    <xf numFmtId="40" fontId="3" fillId="3" borderId="5" xfId="1" applyNumberFormat="1" applyFont="1" applyFill="1" applyBorder="1" applyAlignment="1">
      <alignment horizontal="right"/>
    </xf>
    <xf numFmtId="40" fontId="3" fillId="2" borderId="0" xfId="1" applyNumberFormat="1" applyFont="1" applyFill="1" applyBorder="1" applyAlignment="1">
      <alignment horizontal="right"/>
    </xf>
    <xf numFmtId="40" fontId="3" fillId="4" borderId="5" xfId="1" applyNumberFormat="1" applyFont="1" applyFill="1" applyBorder="1" applyAlignment="1">
      <alignment horizontal="right"/>
    </xf>
    <xf numFmtId="40" fontId="8" fillId="2" borderId="0" xfId="0" applyNumberFormat="1" applyFont="1" applyFill="1"/>
    <xf numFmtId="43" fontId="7" fillId="4" borderId="5" xfId="1" applyFont="1" applyFill="1" applyBorder="1"/>
    <xf numFmtId="168" fontId="7" fillId="2" borderId="0" xfId="0" applyNumberFormat="1" applyFont="1" applyFill="1" applyBorder="1"/>
    <xf numFmtId="9" fontId="3" fillId="2" borderId="0" xfId="2" applyFont="1" applyFill="1" applyBorder="1"/>
    <xf numFmtId="9" fontId="3" fillId="4" borderId="5" xfId="2" applyFont="1" applyFill="1" applyBorder="1"/>
    <xf numFmtId="0" fontId="5" fillId="5" borderId="0" xfId="0" applyFont="1" applyFill="1"/>
    <xf numFmtId="0" fontId="5" fillId="5" borderId="0" xfId="0" applyFont="1" applyFill="1" applyAlignment="1">
      <alignment horizontal="center"/>
    </xf>
    <xf numFmtId="38" fontId="5" fillId="5" borderId="0" xfId="1" applyNumberFormat="1" applyFont="1" applyFill="1" applyAlignment="1">
      <alignment horizontal="right"/>
    </xf>
    <xf numFmtId="38" fontId="5" fillId="5" borderId="5" xfId="1" applyNumberFormat="1" applyFont="1" applyFill="1" applyBorder="1" applyAlignment="1">
      <alignment horizontal="right"/>
    </xf>
    <xf numFmtId="38" fontId="5" fillId="5" borderId="0" xfId="1" applyNumberFormat="1" applyFont="1" applyFill="1" applyBorder="1" applyAlignment="1">
      <alignment horizontal="right"/>
    </xf>
    <xf numFmtId="38" fontId="3" fillId="2" borderId="4" xfId="1" applyNumberFormat="1" applyFont="1" applyFill="1" applyBorder="1" applyAlignment="1">
      <alignment horizontal="right"/>
    </xf>
    <xf numFmtId="0" fontId="5" fillId="2" borderId="0" xfId="0" applyFont="1" applyFill="1"/>
    <xf numFmtId="166" fontId="7" fillId="3" borderId="5" xfId="1" applyNumberFormat="1" applyFont="1" applyFill="1" applyBorder="1"/>
    <xf numFmtId="166" fontId="7" fillId="2" borderId="0" xfId="0" applyNumberFormat="1" applyFont="1" applyFill="1" applyBorder="1"/>
    <xf numFmtId="38" fontId="3" fillId="3" borderId="8" xfId="1" applyNumberFormat="1" applyFont="1" applyFill="1" applyBorder="1" applyAlignment="1">
      <alignment horizontal="right"/>
    </xf>
    <xf numFmtId="38" fontId="5" fillId="3" borderId="7" xfId="1" applyNumberFormat="1" applyFont="1" applyFill="1" applyBorder="1" applyAlignment="1">
      <alignment horizontal="right"/>
    </xf>
    <xf numFmtId="38" fontId="5" fillId="2" borderId="0" xfId="1" applyNumberFormat="1" applyFont="1" applyFill="1" applyAlignment="1">
      <alignment horizontal="right"/>
    </xf>
    <xf numFmtId="38" fontId="5" fillId="2" borderId="5" xfId="1" applyNumberFormat="1" applyFont="1" applyFill="1" applyBorder="1" applyAlignment="1">
      <alignment horizontal="right"/>
    </xf>
    <xf numFmtId="38" fontId="5" fillId="2" borderId="0" xfId="1" applyNumberFormat="1" applyFont="1" applyFill="1" applyBorder="1" applyAlignment="1">
      <alignment horizontal="right"/>
    </xf>
    <xf numFmtId="43" fontId="3" fillId="2" borderId="0" xfId="1" applyFont="1" applyFill="1" applyAlignment="1">
      <alignment horizontal="right"/>
    </xf>
    <xf numFmtId="170" fontId="3" fillId="2" borderId="0" xfId="0" applyNumberFormat="1" applyFont="1" applyFill="1"/>
    <xf numFmtId="170" fontId="3" fillId="2" borderId="5" xfId="0" applyNumberFormat="1" applyFont="1" applyFill="1" applyBorder="1"/>
    <xf numFmtId="170" fontId="3" fillId="3" borderId="5" xfId="0" applyNumberFormat="1" applyFont="1" applyFill="1" applyBorder="1"/>
    <xf numFmtId="170" fontId="3" fillId="2" borderId="0" xfId="0" applyNumberFormat="1" applyFont="1" applyFill="1" applyBorder="1"/>
    <xf numFmtId="170" fontId="3" fillId="4" borderId="5" xfId="0" applyNumberFormat="1" applyFont="1" applyFill="1" applyBorder="1"/>
    <xf numFmtId="166" fontId="3" fillId="2" borderId="0" xfId="1" applyNumberFormat="1" applyFont="1" applyFill="1"/>
    <xf numFmtId="166" fontId="3" fillId="2" borderId="5" xfId="1" applyNumberFormat="1" applyFont="1" applyFill="1" applyBorder="1"/>
    <xf numFmtId="166" fontId="3" fillId="3" borderId="5" xfId="1" applyNumberFormat="1" applyFont="1" applyFill="1" applyBorder="1"/>
    <xf numFmtId="166" fontId="3" fillId="2" borderId="0" xfId="1" applyNumberFormat="1" applyFont="1" applyFill="1" applyBorder="1"/>
    <xf numFmtId="166" fontId="3" fillId="4" borderId="5" xfId="1" applyNumberFormat="1" applyFont="1" applyFill="1" applyBorder="1"/>
    <xf numFmtId="43" fontId="3" fillId="7" borderId="4" xfId="1" applyFont="1" applyFill="1" applyBorder="1"/>
    <xf numFmtId="43" fontId="3" fillId="8" borderId="5" xfId="1" applyFont="1" applyFill="1" applyBorder="1"/>
    <xf numFmtId="43" fontId="3" fillId="7" borderId="0" xfId="1" applyFont="1" applyFill="1" applyBorder="1"/>
    <xf numFmtId="43" fontId="3" fillId="9" borderId="5" xfId="1" applyFont="1" applyFill="1" applyBorder="1"/>
    <xf numFmtId="0" fontId="3" fillId="2" borderId="4" xfId="0" applyFont="1" applyFill="1" applyBorder="1"/>
    <xf numFmtId="0" fontId="3" fillId="3" borderId="5" xfId="0" applyFont="1" applyFill="1" applyBorder="1"/>
    <xf numFmtId="0" fontId="3" fillId="2" borderId="0" xfId="0" applyFont="1" applyFill="1" applyBorder="1"/>
    <xf numFmtId="0" fontId="3" fillId="4" borderId="5" xfId="0" applyFont="1" applyFill="1" applyBorder="1"/>
    <xf numFmtId="38" fontId="3" fillId="0" borderId="0" xfId="1" applyNumberFormat="1" applyFont="1" applyFill="1" applyAlignment="1">
      <alignment horizontal="right"/>
    </xf>
    <xf numFmtId="166" fontId="9" fillId="11" borderId="0" xfId="1" applyNumberFormat="1" applyFont="1" applyFill="1" applyBorder="1" applyAlignment="1">
      <alignment horizontal="right"/>
    </xf>
    <xf numFmtId="166" fontId="3" fillId="2" borderId="5" xfId="1" applyNumberFormat="1" applyFont="1" applyFill="1" applyBorder="1" applyAlignment="1">
      <alignment horizontal="right"/>
    </xf>
    <xf numFmtId="166" fontId="3" fillId="3" borderId="5" xfId="1" applyNumberFormat="1" applyFont="1" applyFill="1" applyBorder="1" applyAlignment="1">
      <alignment horizontal="right"/>
    </xf>
    <xf numFmtId="43" fontId="3" fillId="2" borderId="5" xfId="1" applyFont="1" applyFill="1" applyBorder="1" applyAlignment="1">
      <alignment horizontal="right"/>
    </xf>
    <xf numFmtId="43" fontId="3" fillId="3" borderId="5" xfId="1" applyFont="1" applyFill="1" applyBorder="1" applyAlignment="1">
      <alignment horizontal="right"/>
    </xf>
    <xf numFmtId="43" fontId="3" fillId="2" borderId="0" xfId="1" applyFont="1" applyFill="1" applyBorder="1" applyAlignment="1">
      <alignment horizontal="right"/>
    </xf>
    <xf numFmtId="43" fontId="3" fillId="4" borderId="5" xfId="1" applyFont="1" applyFill="1" applyBorder="1" applyAlignment="1">
      <alignment horizontal="right"/>
    </xf>
    <xf numFmtId="43" fontId="3" fillId="4" borderId="5" xfId="1" applyFont="1" applyFill="1" applyBorder="1"/>
    <xf numFmtId="9" fontId="5" fillId="2" borderId="5" xfId="2" applyFont="1" applyFill="1" applyBorder="1"/>
    <xf numFmtId="9" fontId="5" fillId="2" borderId="4" xfId="2" applyFont="1" applyFill="1" applyBorder="1"/>
    <xf numFmtId="9" fontId="5" fillId="3" borderId="5" xfId="2" applyFont="1" applyFill="1" applyBorder="1"/>
    <xf numFmtId="0" fontId="7" fillId="2" borderId="0" xfId="0" applyFont="1" applyFill="1" applyAlignment="1">
      <alignment horizontal="left" vertical="center" wrapText="1"/>
    </xf>
    <xf numFmtId="0" fontId="3" fillId="2" borderId="0" xfId="0" applyFont="1" applyFill="1" applyAlignment="1">
      <alignment horizontal="left"/>
    </xf>
    <xf numFmtId="0" fontId="11" fillId="2" borderId="0" xfId="0" applyFont="1" applyFill="1"/>
    <xf numFmtId="0" fontId="3" fillId="3" borderId="0" xfId="0" applyFont="1" applyFill="1"/>
    <xf numFmtId="0" fontId="3" fillId="12" borderId="0" xfId="0" applyFont="1" applyFill="1"/>
    <xf numFmtId="0" fontId="7" fillId="2" borderId="0" xfId="0" applyFont="1" applyFill="1" applyAlignment="1">
      <alignment horizontal="left" vertical="center" wrapText="1"/>
    </xf>
  </cellXfs>
  <cellStyles count="15">
    <cellStyle name="Comma" xfId="1" builtinId="3"/>
    <cellStyle name="Comma 2" xfId="3"/>
    <cellStyle name="Comma 2 12" xfId="4"/>
    <cellStyle name="Comma 3" xfId="5"/>
    <cellStyle name="Normal" xfId="0" builtinId="0"/>
    <cellStyle name="Normal 10_Alpha_Financial Reporting Package IRP - Jun'10_v3" xfId="6"/>
    <cellStyle name="Normal 3" xfId="7"/>
    <cellStyle name="Percent" xfId="2" builtinId="5"/>
    <cellStyle name="Percent 11" xfId="8"/>
    <cellStyle name="Percent 2" xfId="9"/>
    <cellStyle name="Style 22" xfId="10"/>
    <cellStyle name="Style 24" xfId="11"/>
    <cellStyle name="Style 24 2" xfId="12"/>
    <cellStyle name="Style 26 2" xfId="13"/>
    <cellStyle name="Style 27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calcChain" Target="calcChain.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0</xdr:row>
      <xdr:rowOff>1</xdr:rowOff>
    </xdr:from>
    <xdr:to>
      <xdr:col>0</xdr:col>
      <xdr:colOff>876300</xdr:colOff>
      <xdr:row>1</xdr:row>
      <xdr:rowOff>23213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28576" y="1"/>
          <a:ext cx="847724" cy="2137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VL%20Historical%20Information_Yr'10%20to%203Q18_Up.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urrent%20folder/IVL%20forecast%20&amp;%20estimates/MD&amp;A%202Q16/IVL_Projections%202Q1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urrent%20folder/IVL%20forecast%20&amp;%20estimates/MD&amp;A%203Q16/IVL_Projections%203Q16.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urrent%20folder/IVL%20forecast%20&amp;%20estimates/MD&amp;A%202Q18/IVL_Projections%202Q18.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urrent%20folder/IVL%20forecast%20&amp;%20estimates/MD&amp;A%202Q17/IVL_Projections%202Q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urrent%20folder/IVL%20forecast%20&amp;%20estimates/MD&amp;A%203Q17/IVL_Projections%203Q17.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urrent%20folder/IVL%20forecast%20&amp;%20estimates/MD&amp;A%201Q18/IVL_Projections%201Q18.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urrent%20folder/IVL%20forecast%20&amp;%20estimates/MD&amp;A%202Q15/IVL_Projections%202Q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Current%20folder/IVL%20forecast%20&amp;%20estimates/MD&amp;A%201Q17/IVL_Projections%201Q17.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Current%20folder/IVL%20forecast%20&amp;%20estimates/MD&amp;A%204Q16/EPS%20calculation%20-%20revised%20summary.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Current%20folder/IVL%20forecast%20&amp;%20estimates/Projects/Running%20IVL%20Model/IVL%20Financial%20Model_Budget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rrent%20folder/IVL%20forecast%20&amp;%20estimates/Budget%202018/IVL_Budget2018.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Current%20folder/IVL%20forecast%20&amp;%20estimates/MD&amp;A%204Q15/CF%204Q15.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Current%20folder/IVL%20forecast%20&amp;%20estimates/MD&amp;A%204Q16/CF%204Q16.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Current%20folder/IVL%20forecast%20&amp;%20estimates/MD&amp;A%204Q17/CF%204Q17.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Current%20folder/IVL%20forecast%20&amp;%20estimates/MD&amp;A%203Q18/CF%203Q18.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Current%20folder/IVL%20forecast%20&amp;%20estimates/MD&amp;A%201Q15/CF%201Q15.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Current%20folder/IVL%20forecast%20&amp;%20estimates/MD&amp;A%202Q15/CF%202Q15.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Current%20folder/IVL%20forecast%20&amp;%20estimates/MD&amp;A%201Q16/CF%201Q16.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Current%20folder/IVL%20forecast%20&amp;%20estimates/MD&amp;A%202Q16/CF%202Q16.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Current%20folder/IVL%20forecast%20&amp;%20estimates/MD&amp;A%203Q16/CF%203Q16.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Vikash/Current%20folder/IVL%20forecast%20&amp;%20estimates/MD&amp;A%201Q16/CF%201Q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rrent%20folder/IVL%20forecast%20&amp;%20estimates/MD&amp;A%201Q15/IVL_Projections%201Q15.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Current%20folder/IVL%20forecast%20&amp;%20estimates/MD&amp;A%201Q17/CF%201Q17.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Current%20folder/IVL%20forecast%20&amp;%20estimates/MD&amp;A%202Q17/CF%202Q17.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Current%20folder/IVL%20forecast%20&amp;%20estimates/MD&amp;A%203Q17/CF%203Q17.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Current%20folder/IVL%20forecast%20&amp;%20estimates/MD&amp;A%202Q18/CF%202Q18.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Current%20folder/IVL%20forecast%20&amp;%20estimates/MD&amp;A%203Q15/Factsheet/CF%203Q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urrent%20folder/IVL%20forecast%20&amp;%20estimates/MD&amp;A%204Q16/IVL_Projections%204Q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urrent%20folder/IVL%20forecast%20&amp;%20estimates/MD&amp;A%204Q17/IVL_Projections%204Q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urrent%20folder/IVL%20forecast%20&amp;%20estimates/MD&amp;A%203Q18/IVL_Projections%203Q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urrent%20folder/IVL%20forecast%20&amp;%20estimates/MD&amp;A%203Q15/Factsheet/IVL_Projections%203Q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urrent%20folder/IVL%20forecast%20&amp;%20estimates/MD&amp;A%204Q15/IVL_Projections%204Q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Vikash/Current%20folder/IVL%20forecast%20&amp;%20estimates/MD&amp;A%201Q16/IVL_Projections%201Q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al Financials in THB"/>
      <sheetName val="Historical Financials in USD"/>
      <sheetName val="Net Debt Equity Bridge"/>
      <sheetName val="Segment Analysis in THB"/>
      <sheetName val="Segments Analysis in USD"/>
      <sheetName val="IVL Industry Margins"/>
      <sheetName val="Industry Demand Supply"/>
      <sheetName val="History of IVL M&amp;A since 2008"/>
      <sheetName val="Installed Capacities"/>
      <sheetName val="IVL Debts &amp; Glossary of terms"/>
      <sheetName val="IVL Shareholding Structure "/>
      <sheetName val="Logo"/>
    </sheetNames>
    <sheetDataSet>
      <sheetData sheetId="0">
        <row r="1">
          <cell r="A1" t="str">
            <v>8th Nov 2018</v>
          </cell>
        </row>
      </sheetData>
      <sheetData sheetId="1">
        <row r="4">
          <cell r="H4">
            <v>8.7759999999999998</v>
          </cell>
        </row>
        <row r="5">
          <cell r="AB5">
            <v>2.6458982384229173</v>
          </cell>
        </row>
        <row r="6">
          <cell r="AB6">
            <v>2.2652216700056305</v>
          </cell>
        </row>
        <row r="8">
          <cell r="C8">
            <v>31.701000000000001</v>
          </cell>
          <cell r="D8">
            <v>30.496700000000001</v>
          </cell>
          <cell r="E8">
            <v>31.087</v>
          </cell>
          <cell r="AO8">
            <v>32.5</v>
          </cell>
          <cell r="AP8">
            <v>32.5</v>
          </cell>
        </row>
        <row r="9">
          <cell r="A9" t="str">
            <v xml:space="preserve">Closing Exchange Rate </v>
          </cell>
          <cell r="C9">
            <v>30.151299999999999</v>
          </cell>
          <cell r="D9">
            <v>31.691199999999998</v>
          </cell>
          <cell r="E9">
            <v>30.631599999999999</v>
          </cell>
          <cell r="G9">
            <v>32.963000000000001</v>
          </cell>
          <cell r="H9">
            <v>36.0886</v>
          </cell>
          <cell r="M9">
            <v>29.308499999999999</v>
          </cell>
          <cell r="N9">
            <v>31.127099999999999</v>
          </cell>
          <cell r="O9">
            <v>31.390699999999999</v>
          </cell>
          <cell r="P9">
            <v>32.813600000000001</v>
          </cell>
          <cell r="Q9">
            <v>32.443199999999997</v>
          </cell>
          <cell r="R9">
            <v>32.454999999999998</v>
          </cell>
          <cell r="S9">
            <v>32.3733</v>
          </cell>
          <cell r="U9">
            <v>32.555100000000003</v>
          </cell>
          <cell r="V9">
            <v>33.776800000000001</v>
          </cell>
          <cell r="X9">
            <v>36.0886</v>
          </cell>
          <cell r="Y9">
            <v>35.239199999999997</v>
          </cell>
        </row>
        <row r="12">
          <cell r="AO12">
            <v>10925.397128713874</v>
          </cell>
          <cell r="AP12">
            <v>2564.5969122329489</v>
          </cell>
          <cell r="AQ12">
            <v>2734.4683955883302</v>
          </cell>
          <cell r="AR12">
            <v>2809.8625159481403</v>
          </cell>
          <cell r="AS12">
            <v>2816.4693049444541</v>
          </cell>
        </row>
        <row r="15">
          <cell r="AO15">
            <v>1299.4991150625694</v>
          </cell>
          <cell r="AP15">
            <v>308.92029659911373</v>
          </cell>
          <cell r="AQ15">
            <v>326.42723871376904</v>
          </cell>
          <cell r="AR15">
            <v>343.75281447343212</v>
          </cell>
          <cell r="AS15">
            <v>320.39876527625472</v>
          </cell>
        </row>
        <row r="16">
          <cell r="AO16">
            <v>-384.7983885664479</v>
          </cell>
          <cell r="AP16">
            <v>-90.665136235744328</v>
          </cell>
          <cell r="AQ16">
            <v>-95.377657697161155</v>
          </cell>
          <cell r="AR16">
            <v>-98.597824986153185</v>
          </cell>
          <cell r="AS16">
            <v>-100.1577696473892</v>
          </cell>
        </row>
        <row r="18">
          <cell r="AO18">
            <v>-134.58972368271225</v>
          </cell>
        </row>
        <row r="19">
          <cell r="AO19">
            <v>0.80016246570506855</v>
          </cell>
        </row>
        <row r="21">
          <cell r="AO21">
            <v>-79.636150920329214</v>
          </cell>
          <cell r="AP21">
            <v>-18.713572301928032</v>
          </cell>
          <cell r="AQ21">
            <v>-21.510845479300112</v>
          </cell>
          <cell r="AR21">
            <v>-19.89525150737192</v>
          </cell>
          <cell r="AS21">
            <v>-19.51648163172915</v>
          </cell>
        </row>
        <row r="22">
          <cell r="AO22">
            <v>-56.608208899636253</v>
          </cell>
          <cell r="AP22">
            <v>-13.354642925103827</v>
          </cell>
          <cell r="AQ22">
            <v>-13.191923639916354</v>
          </cell>
          <cell r="AR22">
            <v>-16.555755585038</v>
          </cell>
          <cell r="AS22">
            <v>-13.505886749578075</v>
          </cell>
        </row>
        <row r="25">
          <cell r="AO25">
            <v>-7.6641643012006799</v>
          </cell>
        </row>
        <row r="29">
          <cell r="AO29">
            <v>-32.307692307692307</v>
          </cell>
        </row>
        <row r="30">
          <cell r="AO30">
            <v>5430.1538461538457</v>
          </cell>
        </row>
        <row r="34">
          <cell r="AO34">
            <v>35.997139673752521</v>
          </cell>
          <cell r="AP34">
            <v>29.265386564684754</v>
          </cell>
          <cell r="AQ34">
            <v>3.5895636610534702</v>
          </cell>
          <cell r="AR34">
            <v>2.0142624659087187</v>
          </cell>
          <cell r="AS34">
            <v>1.1279269821055817</v>
          </cell>
        </row>
        <row r="42">
          <cell r="AO42">
            <v>3.9699700432850857</v>
          </cell>
        </row>
        <row r="46">
          <cell r="AO46">
            <v>1312.3638541950759</v>
          </cell>
        </row>
        <row r="47">
          <cell r="AO47">
            <v>-121.96547099999999</v>
          </cell>
        </row>
        <row r="49">
          <cell r="AO49">
            <v>4504.4371808886799</v>
          </cell>
        </row>
        <row r="50">
          <cell r="AO50">
            <v>3952.3429772291979</v>
          </cell>
        </row>
        <row r="51">
          <cell r="C51">
            <v>11.04429991409989</v>
          </cell>
          <cell r="D51">
            <v>4.3860756298278387</v>
          </cell>
          <cell r="E51">
            <v>10.685011556693087</v>
          </cell>
          <cell r="G51">
            <v>62.379273731153113</v>
          </cell>
          <cell r="H51">
            <v>86.667839705613403</v>
          </cell>
          <cell r="M51">
            <v>11.297063991674772</v>
          </cell>
          <cell r="N51">
            <v>12.714869036948512</v>
          </cell>
          <cell r="O51">
            <v>16.154912123654459</v>
          </cell>
          <cell r="P51">
            <v>32.37206524124143</v>
          </cell>
          <cell r="Q51">
            <v>34.649600356717237</v>
          </cell>
          <cell r="R51">
            <v>68.324462823166328</v>
          </cell>
          <cell r="S51">
            <v>63.107986223455498</v>
          </cell>
          <cell r="U51">
            <v>54.558415958549347</v>
          </cell>
          <cell r="V51">
            <v>60.791638047417166</v>
          </cell>
          <cell r="X51">
            <v>86.667839705613403</v>
          </cell>
          <cell r="Y51">
            <v>89.383442302889975</v>
          </cell>
          <cell r="AO51">
            <v>90.555742121020501</v>
          </cell>
        </row>
        <row r="52">
          <cell r="AO52">
            <v>461.53846153846155</v>
          </cell>
        </row>
        <row r="54">
          <cell r="AO54">
            <v>5694.8355640837563</v>
          </cell>
        </row>
        <row r="58">
          <cell r="AO58">
            <v>1299.4991150625694</v>
          </cell>
        </row>
        <row r="59">
          <cell r="AO59">
            <v>328.78923180191936</v>
          </cell>
        </row>
        <row r="60">
          <cell r="C60">
            <v>342.33365930599371</v>
          </cell>
          <cell r="AO60">
            <v>1628.2883468644889</v>
          </cell>
        </row>
        <row r="61">
          <cell r="C61">
            <v>-177.70581123013307</v>
          </cell>
          <cell r="D61">
            <v>-652.35333524752991</v>
          </cell>
          <cell r="AO61">
            <v>-761.54281512316038</v>
          </cell>
        </row>
        <row r="62">
          <cell r="C62">
            <v>-11.694188769866953</v>
          </cell>
          <cell r="D62">
            <v>-333.55511703251813</v>
          </cell>
        </row>
        <row r="63">
          <cell r="C63">
            <v>-28.88002473201206</v>
          </cell>
          <cell r="E63">
            <v>-41.341704913380092</v>
          </cell>
          <cell r="AO63">
            <v>-96.096568781510499</v>
          </cell>
        </row>
        <row r="64">
          <cell r="AO64">
            <v>770.64896295981794</v>
          </cell>
        </row>
        <row r="65">
          <cell r="C65">
            <v>-39.985029625740644</v>
          </cell>
          <cell r="AO65">
            <v>-134.58972368271225</v>
          </cell>
        </row>
        <row r="66">
          <cell r="C66">
            <v>-14.791577287066245</v>
          </cell>
          <cell r="AO66">
            <v>-79.636150920329214</v>
          </cell>
        </row>
        <row r="67">
          <cell r="C67">
            <v>-44.666286657166431</v>
          </cell>
          <cell r="AO67">
            <v>-193.36788363711804</v>
          </cell>
        </row>
        <row r="68">
          <cell r="AO68">
            <v>489.94556213017751</v>
          </cell>
        </row>
        <row r="70">
          <cell r="AO70">
            <v>853.00076684983594</v>
          </cell>
        </row>
        <row r="71">
          <cell r="AO71">
            <v>556.92967415169926</v>
          </cell>
        </row>
        <row r="72">
          <cell r="AO72">
            <v>1409.9304410015352</v>
          </cell>
        </row>
      </sheetData>
      <sheetData sheetId="2"/>
      <sheetData sheetId="3">
        <row r="28">
          <cell r="H28">
            <v>27365.670995187207</v>
          </cell>
          <cell r="AA28">
            <v>7251.0985888187515</v>
          </cell>
          <cell r="AB28">
            <v>7681.4401338957323</v>
          </cell>
          <cell r="AC28">
            <v>8188.6900193756355</v>
          </cell>
          <cell r="AD28">
            <v>9771.9235752647492</v>
          </cell>
          <cell r="AF28">
            <v>10289.799532620993</v>
          </cell>
        </row>
        <row r="35">
          <cell r="B35">
            <v>96858</v>
          </cell>
          <cell r="C35">
            <v>186096</v>
          </cell>
          <cell r="D35">
            <v>210728.984</v>
          </cell>
          <cell r="E35">
            <v>229120.448</v>
          </cell>
          <cell r="F35">
            <v>243907.21766484791</v>
          </cell>
          <cell r="G35">
            <v>234697.94899999999</v>
          </cell>
          <cell r="H35">
            <v>254619.53899999999</v>
          </cell>
          <cell r="L35">
            <v>55494</v>
          </cell>
          <cell r="M35">
            <v>56807.148000000001</v>
          </cell>
          <cell r="N35">
            <v>59181.069999999992</v>
          </cell>
          <cell r="O35">
            <v>57638.23000000001</v>
          </cell>
          <cell r="P35">
            <v>61646.606</v>
          </cell>
          <cell r="Q35">
            <v>64029.859889935993</v>
          </cell>
          <cell r="R35">
            <v>63606.215110064019</v>
          </cell>
          <cell r="S35">
            <v>54624.536664847896</v>
          </cell>
          <cell r="T35">
            <v>53660.3648109368</v>
          </cell>
          <cell r="U35">
            <v>61225.241189063199</v>
          </cell>
          <cell r="V35">
            <v>62333.540304536982</v>
          </cell>
          <cell r="W35">
            <v>57478.802695463004</v>
          </cell>
          <cell r="X35">
            <v>57164.231830578989</v>
          </cell>
          <cell r="Y35">
            <v>66730.030342933402</v>
          </cell>
          <cell r="Z35">
            <v>65435.834507806205</v>
          </cell>
          <cell r="AA35">
            <v>65289.440000000002</v>
          </cell>
          <cell r="AB35">
            <v>71650.278999999995</v>
          </cell>
          <cell r="AC35">
            <v>71660.810000000012</v>
          </cell>
          <cell r="AD35">
            <v>72604.546000000002</v>
          </cell>
          <cell r="AF35">
            <v>76143.351999999999</v>
          </cell>
          <cell r="AG35">
            <v>83590.938999999998</v>
          </cell>
        </row>
        <row r="53">
          <cell r="B53">
            <v>12598.892037187703</v>
          </cell>
          <cell r="C53">
            <v>16893.61615875503</v>
          </cell>
          <cell r="D53">
            <v>14341.036854706465</v>
          </cell>
          <cell r="E53">
            <v>14683.230933748007</v>
          </cell>
          <cell r="F53">
            <v>18458.275642770226</v>
          </cell>
          <cell r="G53">
            <v>21957.556401914964</v>
          </cell>
          <cell r="L53">
            <v>2728.9290302383843</v>
          </cell>
          <cell r="M53">
            <v>3973.8986550615773</v>
          </cell>
          <cell r="N53">
            <v>3996.4319668739645</v>
          </cell>
          <cell r="O53">
            <v>3983.9712815740886</v>
          </cell>
          <cell r="P53">
            <v>4564.7158750190174</v>
          </cell>
          <cell r="Q53">
            <v>4967.6911947234566</v>
          </cell>
          <cell r="R53">
            <v>4351.9445855158519</v>
          </cell>
          <cell r="S53">
            <v>4573.923987511891</v>
          </cell>
          <cell r="T53">
            <v>4760.9631841459059</v>
          </cell>
          <cell r="U53">
            <v>6212.132216600181</v>
          </cell>
          <cell r="V53">
            <v>5911.347079164846</v>
          </cell>
          <cell r="W53">
            <v>5073.1139220040222</v>
          </cell>
          <cell r="X53">
            <v>4804.096332878582</v>
          </cell>
          <cell r="Y53">
            <v>7749.5042689853317</v>
          </cell>
          <cell r="Z53">
            <v>7560.9718045045393</v>
          </cell>
        </row>
      </sheetData>
      <sheetData sheetId="4">
        <row r="16">
          <cell r="BY16">
            <v>10.594492988020395</v>
          </cell>
        </row>
      </sheetData>
      <sheetData sheetId="5"/>
      <sheetData sheetId="6"/>
      <sheetData sheetId="7"/>
      <sheetData sheetId="8">
        <row r="40">
          <cell r="H40">
            <v>10470.313663308316</v>
          </cell>
          <cell r="I40">
            <v>10664.965558165966</v>
          </cell>
        </row>
      </sheetData>
      <sheetData sheetId="9"/>
      <sheetData sheetId="10"/>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ayback"/>
      <sheetName val="8 Qs"/>
      <sheetName val="Summary"/>
      <sheetName val="By company"/>
      <sheetName val="PTA Asia"/>
      <sheetName val="PTA Asia (Ratio of NCE) "/>
      <sheetName val="EBITDA bridge"/>
      <sheetName val="Financials"/>
      <sheetName val="HVA INfo"/>
      <sheetName val="Analysis"/>
      <sheetName val="MDA table"/>
      <sheetName val="Sheet2"/>
      <sheetName val="Analysis of Core EPS"/>
      <sheetName val="EBITDA table (VJ)"/>
      <sheetName val="Sheet1"/>
      <sheetName val="Exch rates"/>
      <sheetName val="Conso_table"/>
      <sheetName val="Conso THB"/>
      <sheetName val="Restated"/>
      <sheetName val="Conso USD (2)"/>
      <sheetName val="Conso USD"/>
      <sheetName val="Restate 2015"/>
      <sheetName val="PETwPck"/>
      <sheetName val="Poly+Wool"/>
      <sheetName val="Exchgrate"/>
      <sheetName val="Customers sales profile"/>
      <sheetName val="By Company Data"/>
      <sheetName val="HVA_Comm"/>
      <sheetName val="By Segment"/>
      <sheetName val="By Region"/>
      <sheetName val="Workings"/>
      <sheetName val="Feedstock"/>
      <sheetName val="loans to"/>
      <sheetName val="EBITDA table"/>
    </sheetNames>
    <sheetDataSet>
      <sheetData sheetId="0"/>
      <sheetData sheetId="1"/>
      <sheetData sheetId="2"/>
      <sheetData sheetId="3">
        <row r="2">
          <cell r="X2">
            <v>31.087</v>
          </cell>
        </row>
        <row r="175">
          <cell r="AO175">
            <v>2659539.5708522103</v>
          </cell>
        </row>
        <row r="345">
          <cell r="AO345">
            <v>2319358.9555325862</v>
          </cell>
        </row>
      </sheetData>
      <sheetData sheetId="4"/>
      <sheetData sheetId="5"/>
      <sheetData sheetId="6"/>
      <sheetData sheetId="7">
        <row r="20">
          <cell r="AJ20">
            <v>-0.42909173230349618</v>
          </cell>
        </row>
      </sheetData>
      <sheetData sheetId="8"/>
      <sheetData sheetId="9"/>
      <sheetData sheetId="10"/>
      <sheetData sheetId="11"/>
      <sheetData sheetId="12">
        <row r="34">
          <cell r="K34">
            <v>-441.69172675597099</v>
          </cell>
        </row>
      </sheetData>
      <sheetData sheetId="13">
        <row r="15">
          <cell r="C15">
            <v>7684.3483502022791</v>
          </cell>
        </row>
      </sheetData>
      <sheetData sheetId="14"/>
      <sheetData sheetId="15"/>
      <sheetData sheetId="16">
        <row r="1">
          <cell r="BA1">
            <v>32.067149387755101</v>
          </cell>
        </row>
      </sheetData>
      <sheetData sheetId="17">
        <row r="1">
          <cell r="B1">
            <v>35.286499999999997</v>
          </cell>
        </row>
        <row r="20">
          <cell r="B20">
            <v>2945.6260000000002</v>
          </cell>
        </row>
        <row r="22">
          <cell r="B22">
            <v>-44.401466595070929</v>
          </cell>
        </row>
        <row r="23">
          <cell r="B23">
            <v>2485.20716551141</v>
          </cell>
          <cell r="D23">
            <v>2657.2890839999995</v>
          </cell>
        </row>
        <row r="24">
          <cell r="B24">
            <v>9.5572818053278894</v>
          </cell>
        </row>
        <row r="25">
          <cell r="B25">
            <v>1086.2987145220727</v>
          </cell>
        </row>
        <row r="27">
          <cell r="B27">
            <v>679.55443700000001</v>
          </cell>
        </row>
        <row r="28">
          <cell r="B28">
            <v>121.453535</v>
          </cell>
        </row>
        <row r="31">
          <cell r="B31">
            <v>57.035999999999987</v>
          </cell>
        </row>
        <row r="57">
          <cell r="B57">
            <v>3878.8980000000001</v>
          </cell>
        </row>
        <row r="91">
          <cell r="B91">
            <v>14874.072</v>
          </cell>
        </row>
        <row r="94">
          <cell r="B94">
            <v>3059.9839999999999</v>
          </cell>
        </row>
        <row r="95">
          <cell r="B95">
            <v>89232.435000000012</v>
          </cell>
          <cell r="H95">
            <v>79427.692673019992</v>
          </cell>
        </row>
        <row r="101">
          <cell r="B101">
            <v>106954.18999999999</v>
          </cell>
        </row>
        <row r="102">
          <cell r="B102">
            <v>734.35736614150505</v>
          </cell>
        </row>
        <row r="104">
          <cell r="B104">
            <v>14042.493097259294</v>
          </cell>
        </row>
      </sheetData>
      <sheetData sheetId="18">
        <row r="15">
          <cell r="G15">
            <v>-5.2725188164632444</v>
          </cell>
        </row>
      </sheetData>
      <sheetData sheetId="19"/>
      <sheetData sheetId="20">
        <row r="1">
          <cell r="G1">
            <v>35.4758</v>
          </cell>
        </row>
      </sheetData>
      <sheetData sheetId="21">
        <row r="14">
          <cell r="D14">
            <v>-99829.349635615945</v>
          </cell>
        </row>
      </sheetData>
      <sheetData sheetId="22">
        <row r="1">
          <cell r="C1">
            <v>35.646999999999998</v>
          </cell>
        </row>
      </sheetData>
      <sheetData sheetId="23">
        <row r="21">
          <cell r="G21">
            <v>37354.375590203301</v>
          </cell>
        </row>
      </sheetData>
      <sheetData sheetId="24"/>
      <sheetData sheetId="25"/>
      <sheetData sheetId="26"/>
      <sheetData sheetId="27"/>
      <sheetData sheetId="28"/>
      <sheetData sheetId="29"/>
      <sheetData sheetId="30"/>
      <sheetData sheetId="31">
        <row r="49">
          <cell r="G49">
            <v>38896.935647657498</v>
          </cell>
        </row>
      </sheetData>
      <sheetData sheetId="32">
        <row r="12">
          <cell r="P12">
            <v>954540600.18853498</v>
          </cell>
        </row>
      </sheetData>
      <sheetData sheetId="3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ayback"/>
      <sheetName val="8 Qs"/>
      <sheetName val="Summary"/>
      <sheetName val="Technon PET consumption_11Oct16"/>
      <sheetName val="By company"/>
      <sheetName val="PTA Asia"/>
      <sheetName val="PTA Asia (Ratio of NCE) "/>
      <sheetName val="Analysis"/>
      <sheetName val="EBITDA bridge"/>
      <sheetName val="Financials"/>
      <sheetName val="HVA INfo"/>
      <sheetName val="MDA table"/>
      <sheetName val="Sheet2"/>
      <sheetName val="Analysis of Core EPS"/>
      <sheetName val="EBITDA table (VJ)"/>
      <sheetName val="Sheet1"/>
      <sheetName val="Exch rates"/>
      <sheetName val="Conso_table"/>
      <sheetName val="Conso THB"/>
      <sheetName val="Restated"/>
      <sheetName val="Conso USD (2)"/>
      <sheetName val="Conso USD"/>
      <sheetName val="Restate 2015"/>
      <sheetName val="PETwPck"/>
      <sheetName val="Poly+Wool"/>
      <sheetName val="Exchgrate"/>
      <sheetName val="Customers sales profile"/>
      <sheetName val="By Company Data"/>
      <sheetName val="HVA_Comm"/>
      <sheetName val="By Segment"/>
      <sheetName val="By Region"/>
      <sheetName val="Workings"/>
      <sheetName val="Feedstock"/>
      <sheetName val="loans to"/>
      <sheetName val="EBITDA table"/>
    </sheetNames>
    <sheetDataSet>
      <sheetData sheetId="0"/>
      <sheetData sheetId="1"/>
      <sheetData sheetId="2"/>
      <sheetData sheetId="3"/>
      <sheetData sheetId="4">
        <row r="2">
          <cell r="Z2">
            <v>29.855</v>
          </cell>
        </row>
        <row r="175">
          <cell r="AP175">
            <v>2668866.1836283971</v>
          </cell>
        </row>
        <row r="345">
          <cell r="AP345">
            <v>2379575.1199698388</v>
          </cell>
        </row>
      </sheetData>
      <sheetData sheetId="5"/>
      <sheetData sheetId="6"/>
      <sheetData sheetId="7"/>
      <sheetData sheetId="8"/>
      <sheetData sheetId="9">
        <row r="20">
          <cell r="AA20">
            <v>-15.77</v>
          </cell>
        </row>
      </sheetData>
      <sheetData sheetId="10"/>
      <sheetData sheetId="11">
        <row r="15">
          <cell r="Q15">
            <v>4693.2541223214575</v>
          </cell>
        </row>
        <row r="44">
          <cell r="Q44">
            <v>-12.519269972650008</v>
          </cell>
          <cell r="R44">
            <v>-41.821318557622</v>
          </cell>
          <cell r="T44">
            <v>-11.72071355015202</v>
          </cell>
        </row>
        <row r="45">
          <cell r="Q45">
            <v>432.90314050443988</v>
          </cell>
          <cell r="R45">
            <v>2608.4598285793727</v>
          </cell>
          <cell r="T45">
            <v>-1.0571094541944603E-6</v>
          </cell>
        </row>
        <row r="46">
          <cell r="Q46">
            <v>-17.103476973875217</v>
          </cell>
          <cell r="R46">
            <v>-81.431682935355866</v>
          </cell>
          <cell r="T46">
            <v>-2.9717593871851129</v>
          </cell>
        </row>
      </sheetData>
      <sheetData sheetId="12"/>
      <sheetData sheetId="13"/>
      <sheetData sheetId="14">
        <row r="3">
          <cell r="I3">
            <v>6767.4421587830802</v>
          </cell>
        </row>
      </sheetData>
      <sheetData sheetId="15"/>
      <sheetData sheetId="16"/>
      <sheetData sheetId="17"/>
      <sheetData sheetId="18">
        <row r="1">
          <cell r="B1">
            <v>34.829500000000003</v>
          </cell>
        </row>
        <row r="20">
          <cell r="B20">
            <v>2837.0637669999996</v>
          </cell>
          <cell r="D20">
            <v>2398.123</v>
          </cell>
          <cell r="P20">
            <v>2360.9214664893798</v>
          </cell>
        </row>
        <row r="22">
          <cell r="B22">
            <v>-54.186533404929079</v>
          </cell>
        </row>
        <row r="23">
          <cell r="B23">
            <v>403.28063148859019</v>
          </cell>
        </row>
        <row r="24">
          <cell r="B24">
            <v>26.218718194672114</v>
          </cell>
        </row>
        <row r="25">
          <cell r="B25">
            <v>1088.7722854779272</v>
          </cell>
        </row>
        <row r="27">
          <cell r="B27">
            <v>323.81322699999987</v>
          </cell>
        </row>
        <row r="28">
          <cell r="B28">
            <v>321.15018500000002</v>
          </cell>
        </row>
        <row r="31">
          <cell r="B31">
            <v>37.14400000000002</v>
          </cell>
        </row>
        <row r="57">
          <cell r="B57">
            <v>3583.4790000000003</v>
          </cell>
        </row>
        <row r="91">
          <cell r="B91">
            <v>14874.072</v>
          </cell>
        </row>
        <row r="94">
          <cell r="B94">
            <v>3039.6579999999999</v>
          </cell>
          <cell r="D94">
            <v>3196.1039999999998</v>
          </cell>
        </row>
        <row r="95">
          <cell r="B95">
            <v>89248.565000000002</v>
          </cell>
          <cell r="D95">
            <v>84081.222673019991</v>
          </cell>
        </row>
        <row r="101">
          <cell r="B101">
            <v>99326.966000000015</v>
          </cell>
        </row>
        <row r="102">
          <cell r="B102">
            <v>508.083639334868</v>
          </cell>
        </row>
        <row r="104">
          <cell r="B104">
            <v>14262.751060759279</v>
          </cell>
        </row>
        <row r="171">
          <cell r="O171">
            <v>3289.8192637128</v>
          </cell>
          <cell r="P171">
            <v>3366.4843940067594</v>
          </cell>
          <cell r="AB171">
            <v>201.736849672099</v>
          </cell>
          <cell r="AK171">
            <v>-1.2380496627883986E-9</v>
          </cell>
          <cell r="AN171">
            <v>3872.4177695311382</v>
          </cell>
          <cell r="AO171">
            <v>1669.8902341154139</v>
          </cell>
          <cell r="AT171">
            <v>-7.0040186983533204E-9</v>
          </cell>
          <cell r="BF171">
            <v>1669.890234123656</v>
          </cell>
          <cell r="BR171">
            <v>0</v>
          </cell>
          <cell r="CE171">
            <v>86.919482637274996</v>
          </cell>
          <cell r="CJ171">
            <v>0</v>
          </cell>
          <cell r="CS171">
            <v>0</v>
          </cell>
          <cell r="DE171">
            <v>0</v>
          </cell>
          <cell r="DO171">
            <v>147.54</v>
          </cell>
          <cell r="FB171">
            <v>8359</v>
          </cell>
        </row>
        <row r="172">
          <cell r="O172">
            <v>-10.400476729862001</v>
          </cell>
          <cell r="P172">
            <v>-96.471665880031992</v>
          </cell>
          <cell r="AB172">
            <v>-19.157653228191997</v>
          </cell>
          <cell r="AK172">
            <v>-89.626626035522008</v>
          </cell>
          <cell r="AN172">
            <v>-165.51109173241804</v>
          </cell>
          <cell r="AO172">
            <v>-126.21408373686201</v>
          </cell>
          <cell r="AT172">
            <v>-14.099514900940001</v>
          </cell>
          <cell r="BF172">
            <v>-22.487942800399999</v>
          </cell>
          <cell r="BR172">
            <v>0</v>
          </cell>
          <cell r="CE172">
            <v>31.921502977061998</v>
          </cell>
          <cell r="CJ172">
            <v>0.69305840733091983</v>
          </cell>
          <cell r="CS172">
            <v>30.911206718319999</v>
          </cell>
          <cell r="DE172">
            <v>-1.3950879999999999E-2</v>
          </cell>
          <cell r="DO172">
            <v>-386.74400000000003</v>
          </cell>
          <cell r="FB172">
            <v>-613</v>
          </cell>
        </row>
        <row r="173">
          <cell r="O173">
            <v>-3.2733200475500004</v>
          </cell>
          <cell r="P173">
            <v>-612.72562082554896</v>
          </cell>
          <cell r="AB173">
            <v>-45.041430894755997</v>
          </cell>
          <cell r="AK173">
            <v>100.21285663621643</v>
          </cell>
          <cell r="AN173">
            <v>-1294.1474532616048</v>
          </cell>
          <cell r="AO173">
            <v>-1601.6780941998218</v>
          </cell>
          <cell r="AT173">
            <v>-273.52505534706916</v>
          </cell>
          <cell r="BF173">
            <v>-1373.3123038312858</v>
          </cell>
          <cell r="BR173">
            <v>-55.053591657683299</v>
          </cell>
          <cell r="CE173">
            <v>-17.77</v>
          </cell>
          <cell r="CJ173">
            <v>272.80642547615389</v>
          </cell>
          <cell r="CS173">
            <v>72.062498382046044</v>
          </cell>
          <cell r="DE173">
            <v>291.05450661000003</v>
          </cell>
          <cell r="DO173">
            <v>1406.7670000000001</v>
          </cell>
          <cell r="FB173">
            <v>-1533.58</v>
          </cell>
        </row>
        <row r="175">
          <cell r="CE175">
            <v>90.859210196000006</v>
          </cell>
          <cell r="CJ175">
            <v>92.084992698800008</v>
          </cell>
          <cell r="DO175">
            <v>181.173</v>
          </cell>
          <cell r="FB175">
            <v>-211</v>
          </cell>
        </row>
        <row r="188">
          <cell r="O188">
            <v>0</v>
          </cell>
          <cell r="P188">
            <v>609.70100000000002</v>
          </cell>
          <cell r="AB188">
            <v>8.9285279399999986</v>
          </cell>
          <cell r="AK188">
            <v>-103.14107488794389</v>
          </cell>
          <cell r="AN188">
            <v>1244.0432183852711</v>
          </cell>
          <cell r="AO188">
            <v>1163.4759251120561</v>
          </cell>
          <cell r="AT188">
            <v>-3.3329289908579085E-4</v>
          </cell>
          <cell r="BF188">
            <v>1266.617333292899</v>
          </cell>
          <cell r="BR188">
            <v>0</v>
          </cell>
          <cell r="CE188">
            <v>384.99525469999998</v>
          </cell>
          <cell r="CJ188">
            <v>8.5312179999999987E-2</v>
          </cell>
          <cell r="DE188">
            <v>0</v>
          </cell>
          <cell r="DO188">
            <v>0</v>
          </cell>
        </row>
      </sheetData>
      <sheetData sheetId="19"/>
      <sheetData sheetId="20"/>
      <sheetData sheetId="21">
        <row r="1">
          <cell r="B1">
            <v>34.829500000000003</v>
          </cell>
        </row>
        <row r="36">
          <cell r="B36">
            <v>4814.2719999999999</v>
          </cell>
        </row>
      </sheetData>
      <sheetData sheetId="22">
        <row r="14">
          <cell r="G14">
            <v>-50494.95653706789</v>
          </cell>
        </row>
      </sheetData>
      <sheetData sheetId="23">
        <row r="1">
          <cell r="G1">
            <v>35.255600000000001</v>
          </cell>
        </row>
      </sheetData>
      <sheetData sheetId="24">
        <row r="58">
          <cell r="B58">
            <v>17671.243923598511</v>
          </cell>
        </row>
      </sheetData>
      <sheetData sheetId="25"/>
      <sheetData sheetId="26"/>
      <sheetData sheetId="27"/>
      <sheetData sheetId="28"/>
      <sheetData sheetId="29"/>
      <sheetData sheetId="30"/>
      <sheetData sheetId="31"/>
      <sheetData sheetId="32">
        <row r="101">
          <cell r="B101">
            <v>26799.199368211481</v>
          </cell>
        </row>
      </sheetData>
      <sheetData sheetId="33"/>
      <sheetData sheetId="3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Qs"/>
      <sheetName val="Summary"/>
      <sheetName val="Technon PET consumption_11Oct16"/>
      <sheetName val="PTA Asia"/>
      <sheetName val="PTA Asia (Ratio of NCE) "/>
      <sheetName val="Asia Analysis"/>
      <sheetName val="By company"/>
      <sheetName val="EBITDA bridge"/>
      <sheetName val="EPS Calculation"/>
      <sheetName val="Financials"/>
      <sheetName val="HVA INfo"/>
      <sheetName val="CMD 2018 Capex"/>
      <sheetName val="BS and NWC"/>
      <sheetName val="NCI"/>
      <sheetName val="Sheet2"/>
      <sheetName val="Analysis of Core EPS"/>
      <sheetName val="Analysis"/>
      <sheetName val="Sheet1"/>
      <sheetName val="Exch rates"/>
      <sheetName val="Sheet3"/>
      <sheetName val="MDA table"/>
      <sheetName val="Conso THB"/>
      <sheetName val="EBITDA table (VJ)"/>
      <sheetName val="Conso_table"/>
      <sheetName val="Restated"/>
      <sheetName val="Conso USD (2)"/>
      <sheetName val="Conso USD"/>
      <sheetName val="Restate 2015"/>
      <sheetName val="PETwPck"/>
      <sheetName val="Poly+Wool"/>
      <sheetName val="Exchgrate"/>
      <sheetName val="Customers sales profile"/>
      <sheetName val="Feedstock"/>
      <sheetName val="loans to"/>
    </sheetNames>
    <sheetDataSet>
      <sheetData sheetId="0"/>
      <sheetData sheetId="1"/>
      <sheetData sheetId="2"/>
      <sheetData sheetId="3"/>
      <sheetData sheetId="4"/>
      <sheetData sheetId="5"/>
      <sheetData sheetId="6">
        <row r="2">
          <cell r="AS2">
            <v>35.106000000000002</v>
          </cell>
          <cell r="AZ2">
            <v>31.741199999999999</v>
          </cell>
        </row>
        <row r="3">
          <cell r="AY3">
            <v>31.9468</v>
          </cell>
        </row>
        <row r="4">
          <cell r="AY4">
            <v>33.167200000000001</v>
          </cell>
          <cell r="AZ4">
            <v>33.167200000000001</v>
          </cell>
        </row>
        <row r="207">
          <cell r="AS207">
            <v>2528174.3660283834</v>
          </cell>
          <cell r="AY207">
            <v>2770971.2898429651</v>
          </cell>
        </row>
        <row r="409">
          <cell r="AY409">
            <v>2546249.3404533281</v>
          </cell>
          <cell r="AZ409">
            <v>4871372.9108056165</v>
          </cell>
        </row>
        <row r="1665">
          <cell r="AY1665">
            <v>293.64134162069627</v>
          </cell>
          <cell r="AZ1665">
            <v>866.91993899970726</v>
          </cell>
        </row>
        <row r="2702">
          <cell r="AY2702">
            <v>47.664875498968755</v>
          </cell>
          <cell r="AZ2702">
            <v>141.24861675399421</v>
          </cell>
        </row>
      </sheetData>
      <sheetData sheetId="7"/>
      <sheetData sheetId="8"/>
      <sheetData sheetId="9">
        <row r="20">
          <cell r="AU20">
            <v>0</v>
          </cell>
        </row>
      </sheetData>
      <sheetData sheetId="10"/>
      <sheetData sheetId="11"/>
      <sheetData sheetId="12"/>
      <sheetData sheetId="13"/>
      <sheetData sheetId="14"/>
      <sheetData sheetId="15"/>
      <sheetData sheetId="16"/>
      <sheetData sheetId="17"/>
      <sheetData sheetId="18"/>
      <sheetData sheetId="19"/>
      <sheetData sheetId="20">
        <row r="22">
          <cell r="DN22">
            <v>7462.8072468782511</v>
          </cell>
        </row>
        <row r="48">
          <cell r="DN48">
            <v>-356.7418023528582</v>
          </cell>
        </row>
        <row r="49">
          <cell r="DN49">
            <v>894.87708966034802</v>
          </cell>
        </row>
        <row r="50">
          <cell r="DN50">
            <v>-4.2262506388079855</v>
          </cell>
        </row>
      </sheetData>
      <sheetData sheetId="21">
        <row r="1">
          <cell r="B1">
            <v>31.9468</v>
          </cell>
        </row>
        <row r="20">
          <cell r="B20">
            <v>3218.406223</v>
          </cell>
          <cell r="G20">
            <v>6269.0322230000002</v>
          </cell>
        </row>
        <row r="22">
          <cell r="B22">
            <v>206.36051499999999</v>
          </cell>
          <cell r="G22">
            <v>164.16451499999999</v>
          </cell>
        </row>
        <row r="24">
          <cell r="B24">
            <v>90.836999999999989</v>
          </cell>
          <cell r="G24">
            <v>127.764</v>
          </cell>
        </row>
        <row r="25">
          <cell r="B25">
            <v>887.18399999999997</v>
          </cell>
          <cell r="G25">
            <v>1778.24</v>
          </cell>
        </row>
        <row r="27">
          <cell r="B27">
            <v>1352.8236349999997</v>
          </cell>
          <cell r="G27">
            <v>2186.8563239999999</v>
          </cell>
        </row>
        <row r="28">
          <cell r="B28">
            <v>-208.15862399999997</v>
          </cell>
          <cell r="G28">
            <v>-161.02905799999999</v>
          </cell>
        </row>
        <row r="31">
          <cell r="B31">
            <v>26.166999999999998</v>
          </cell>
          <cell r="G31">
            <v>52.738999999999997</v>
          </cell>
        </row>
        <row r="33">
          <cell r="B33">
            <v>-261.78082191780823</v>
          </cell>
          <cell r="G33">
            <v>-520.68493150684935</v>
          </cell>
        </row>
        <row r="36">
          <cell r="B36">
            <v>5500.1167873956038</v>
          </cell>
        </row>
        <row r="57">
          <cell r="B57">
            <v>22997.377</v>
          </cell>
          <cell r="G57">
            <v>22997.377</v>
          </cell>
        </row>
        <row r="91">
          <cell r="B91">
            <v>14874.072</v>
          </cell>
          <cell r="G91">
            <v>14874.072</v>
          </cell>
        </row>
        <row r="94">
          <cell r="B94">
            <v>3141.2089999999998</v>
          </cell>
          <cell r="G94">
            <v>3141.2089999999998</v>
          </cell>
        </row>
        <row r="95">
          <cell r="B95">
            <v>142781.38940000001</v>
          </cell>
          <cell r="G95">
            <v>142781.43700000001</v>
          </cell>
        </row>
        <row r="101">
          <cell r="B101">
            <v>113545.432</v>
          </cell>
          <cell r="G101">
            <v>113545.432</v>
          </cell>
        </row>
        <row r="102">
          <cell r="B102">
            <v>-334.66056193624519</v>
          </cell>
          <cell r="G102">
            <v>-334.66056193624519</v>
          </cell>
        </row>
        <row r="104">
          <cell r="B104">
            <v>26376.062210200398</v>
          </cell>
          <cell r="G104">
            <v>26376.062210200398</v>
          </cell>
        </row>
        <row r="145">
          <cell r="G145">
            <v>159734.291</v>
          </cell>
        </row>
        <row r="153">
          <cell r="B153">
            <v>12394.367090379281</v>
          </cell>
          <cell r="G153">
            <v>22684.166623000274</v>
          </cell>
        </row>
      </sheetData>
      <sheetData sheetId="22">
        <row r="3">
          <cell r="B3">
            <v>2546.2493404533284</v>
          </cell>
        </row>
      </sheetData>
      <sheetData sheetId="23">
        <row r="85">
          <cell r="B85">
            <v>22.774383</v>
          </cell>
        </row>
      </sheetData>
      <sheetData sheetId="24"/>
      <sheetData sheetId="25"/>
      <sheetData sheetId="26">
        <row r="1">
          <cell r="B1">
            <v>31.9468</v>
          </cell>
        </row>
      </sheetData>
      <sheetData sheetId="27"/>
      <sheetData sheetId="28"/>
      <sheetData sheetId="29"/>
      <sheetData sheetId="30"/>
      <sheetData sheetId="31"/>
      <sheetData sheetId="32"/>
      <sheetData sheetId="3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Qs"/>
      <sheetName val="Summary"/>
      <sheetName val="Technon PET consumption_11Oct16"/>
      <sheetName val="By company"/>
      <sheetName val="PTA Asia"/>
      <sheetName val="PTA Asia (Ratio of NCE) "/>
      <sheetName val="EBITDA bridge"/>
      <sheetName val="Financials"/>
      <sheetName val="HVA INfo"/>
      <sheetName val="BS and NWC"/>
      <sheetName val="NCI"/>
      <sheetName val="EPS Calculation"/>
      <sheetName val="MDA table"/>
      <sheetName val="Sheet2"/>
      <sheetName val="Analysis of Core EPS"/>
      <sheetName val="Analysis"/>
      <sheetName val="EBITDA table (VJ)"/>
      <sheetName val="Sheet1"/>
      <sheetName val="Exch rates"/>
      <sheetName val="Conso_table"/>
      <sheetName val="Conso THB"/>
      <sheetName val="Restated"/>
      <sheetName val="Conso USD (2)"/>
      <sheetName val="Conso USD"/>
      <sheetName val="Restate 2015"/>
      <sheetName val="PETwPck"/>
      <sheetName val="Poly+Wool"/>
      <sheetName val="Exchgrate"/>
      <sheetName val="Customers sales profile"/>
      <sheetName val="Feedstock"/>
      <sheetName val="loans to"/>
    </sheetNames>
    <sheetDataSet>
      <sheetData sheetId="0"/>
      <sheetData sheetId="1"/>
      <sheetData sheetId="2"/>
      <sheetData sheetId="3">
        <row r="2">
          <cell r="AJ2">
            <v>32.9559</v>
          </cell>
        </row>
        <row r="179">
          <cell r="AT179">
            <v>2567380.3761454877</v>
          </cell>
        </row>
        <row r="1457">
          <cell r="AT1457">
            <v>-789.85778313189223</v>
          </cell>
        </row>
        <row r="2368">
          <cell r="AT2368">
            <v>-45.830441508645691</v>
          </cell>
        </row>
      </sheetData>
      <sheetData sheetId="4"/>
      <sheetData sheetId="5"/>
      <sheetData sheetId="6"/>
      <sheetData sheetId="7">
        <row r="20">
          <cell r="AK20">
            <v>-0.34926660929651621</v>
          </cell>
        </row>
      </sheetData>
      <sheetData sheetId="8"/>
      <sheetData sheetId="9"/>
      <sheetData sheetId="10"/>
      <sheetData sheetId="11"/>
      <sheetData sheetId="12">
        <row r="10">
          <cell r="BH10">
            <v>878.90805121651272</v>
          </cell>
        </row>
        <row r="49">
          <cell r="AT49">
            <v>-92.732360810178989</v>
          </cell>
        </row>
        <row r="50">
          <cell r="AT50">
            <v>-1.69156295</v>
          </cell>
        </row>
        <row r="51">
          <cell r="AT51">
            <v>6.2450766466619658</v>
          </cell>
        </row>
      </sheetData>
      <sheetData sheetId="13"/>
      <sheetData sheetId="14"/>
      <sheetData sheetId="15"/>
      <sheetData sheetId="16">
        <row r="3">
          <cell r="G3">
            <v>9055.8319599658989</v>
          </cell>
        </row>
      </sheetData>
      <sheetData sheetId="17"/>
      <sheetData sheetId="18"/>
      <sheetData sheetId="19"/>
      <sheetData sheetId="20">
        <row r="1">
          <cell r="B1">
            <v>34.286299999999997</v>
          </cell>
          <cell r="C1">
            <v>35.106046774193558</v>
          </cell>
          <cell r="D1">
            <v>35.286499999999997</v>
          </cell>
        </row>
        <row r="2">
          <cell r="B2">
            <v>33.981400000000001</v>
          </cell>
          <cell r="C2">
            <v>34.450099999999999</v>
          </cell>
          <cell r="D2">
            <v>35.180199999999999</v>
          </cell>
        </row>
        <row r="20">
          <cell r="B20">
            <v>2874.5037870000006</v>
          </cell>
        </row>
        <row r="22">
          <cell r="B22">
            <v>-120.08924834169301</v>
          </cell>
        </row>
        <row r="24">
          <cell r="B24">
            <v>9.5517548702459152</v>
          </cell>
        </row>
        <row r="25">
          <cell r="B25">
            <v>990.76217444468512</v>
          </cell>
        </row>
        <row r="27">
          <cell r="B27">
            <v>592.9243899999999</v>
          </cell>
        </row>
        <row r="28">
          <cell r="B28">
            <v>-263.51481699999999</v>
          </cell>
        </row>
        <row r="31">
          <cell r="B31">
            <v>68.362000000000009</v>
          </cell>
        </row>
        <row r="33">
          <cell r="B33">
            <v>-261.78093150684936</v>
          </cell>
        </row>
        <row r="36">
          <cell r="B36">
            <v>4814.3190583626374</v>
          </cell>
          <cell r="C36">
            <v>4814.2929999999997</v>
          </cell>
          <cell r="D36">
            <v>4814.2719999999999</v>
          </cell>
        </row>
        <row r="57">
          <cell r="B57">
            <v>5256.4149333011928</v>
          </cell>
        </row>
        <row r="91">
          <cell r="B91">
            <v>14874.07167302</v>
          </cell>
        </row>
        <row r="94">
          <cell r="B94">
            <v>2008.8726125596804</v>
          </cell>
        </row>
        <row r="95">
          <cell r="B95">
            <v>94796.490549151844</v>
          </cell>
        </row>
        <row r="101">
          <cell r="B101">
            <v>106689.10248027041</v>
          </cell>
        </row>
        <row r="102">
          <cell r="B102">
            <v>258.00967002063993</v>
          </cell>
        </row>
        <row r="104">
          <cell r="B104">
            <v>21586.360719009928</v>
          </cell>
        </row>
      </sheetData>
      <sheetData sheetId="21"/>
      <sheetData sheetId="22"/>
      <sheetData sheetId="23">
        <row r="20">
          <cell r="B20">
            <v>83.761344134058788</v>
          </cell>
        </row>
      </sheetData>
      <sheetData sheetId="24">
        <row r="14">
          <cell r="B14">
            <v>-49734.481184214354</v>
          </cell>
          <cell r="C14">
            <v>-50094.868451401591</v>
          </cell>
          <cell r="E14">
            <v>-50495.361878439784</v>
          </cell>
          <cell r="G14">
            <v>-50494.95653706789</v>
          </cell>
        </row>
        <row r="15">
          <cell r="B15">
            <v>2725.8538807037403</v>
          </cell>
          <cell r="C15">
            <v>2726.8198600082542</v>
          </cell>
          <cell r="E15">
            <v>2725.3787895126734</v>
          </cell>
          <cell r="G15">
            <v>2727.0200467992108</v>
          </cell>
        </row>
        <row r="16">
          <cell r="B16">
            <v>59.475561979605118</v>
          </cell>
          <cell r="C16">
            <v>86.567981511325343</v>
          </cell>
          <cell r="E16">
            <v>73.213732773001539</v>
          </cell>
          <cell r="G16">
            <v>19.742723736068001</v>
          </cell>
        </row>
        <row r="58">
          <cell r="B58">
            <v>-1086326.7192197815</v>
          </cell>
          <cell r="C58">
            <v>-1039526.3043368384</v>
          </cell>
          <cell r="E58">
            <v>-992326.08622860163</v>
          </cell>
          <cell r="Q58">
            <v>-1132765.6056328937</v>
          </cell>
        </row>
        <row r="59">
          <cell r="B59">
            <v>-16973.085706951329</v>
          </cell>
          <cell r="C59">
            <v>-17125.559074136894</v>
          </cell>
          <cell r="E59">
            <v>-17292.229592208052</v>
          </cell>
        </row>
      </sheetData>
      <sheetData sheetId="25"/>
      <sheetData sheetId="26"/>
      <sheetData sheetId="27"/>
      <sheetData sheetId="28"/>
      <sheetData sheetId="29"/>
      <sheetData sheetId="3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Qs"/>
      <sheetName val="Summary"/>
      <sheetName val="Technon PET consumption_11Oct16"/>
      <sheetName val="By company"/>
      <sheetName val="PTA Asia"/>
      <sheetName val="PTA Asia (Ratio of NCE) "/>
      <sheetName val="Asia Analysis"/>
      <sheetName val="EBITDA bridge"/>
      <sheetName val="Financials"/>
      <sheetName val="HVA INfo"/>
      <sheetName val="BS and NWC"/>
      <sheetName val="NCI"/>
      <sheetName val="EPS Calculation"/>
      <sheetName val="MDA table"/>
      <sheetName val="Sheet2"/>
      <sheetName val="Analysis of Core EPS"/>
      <sheetName val="Analysis"/>
      <sheetName val="EBITDA table (VJ)"/>
      <sheetName val="Sheet1"/>
      <sheetName val="Exch rates"/>
      <sheetName val="Conso_table"/>
      <sheetName val="Sheet3"/>
      <sheetName val="Conso THB"/>
      <sheetName val="Restated"/>
      <sheetName val="Conso USD (2)"/>
      <sheetName val="Conso USD"/>
      <sheetName val="Restate 2015"/>
      <sheetName val="PETwPck"/>
      <sheetName val="Poly+Wool"/>
      <sheetName val="Exchgrate"/>
      <sheetName val="Customers sales profile"/>
      <sheetName val="Feedstock"/>
      <sheetName val="loans to"/>
    </sheetNames>
    <sheetDataSet>
      <sheetData sheetId="0"/>
      <sheetData sheetId="1"/>
      <sheetData sheetId="2"/>
      <sheetData sheetId="3">
        <row r="2">
          <cell r="AK2">
            <v>33.756192817679548</v>
          </cell>
        </row>
        <row r="185">
          <cell r="AU185">
            <v>2601243.8064418328</v>
          </cell>
        </row>
        <row r="1503">
          <cell r="AU1503">
            <v>251.10068849150275</v>
          </cell>
        </row>
        <row r="2441">
          <cell r="AU2441">
            <v>-18.245909103051332</v>
          </cell>
        </row>
      </sheetData>
      <sheetData sheetId="4"/>
      <sheetData sheetId="5"/>
      <sheetData sheetId="6"/>
      <sheetData sheetId="7"/>
      <sheetData sheetId="8">
        <row r="20">
          <cell r="AL20">
            <v>-0.3884771977716599</v>
          </cell>
        </row>
      </sheetData>
      <sheetData sheetId="9"/>
      <sheetData sheetId="10"/>
      <sheetData sheetId="11"/>
      <sheetData sheetId="12"/>
      <sheetData sheetId="13">
        <row r="22">
          <cell r="Q22">
            <v>2864.245278031874</v>
          </cell>
        </row>
        <row r="48">
          <cell r="BL48">
            <v>-124.26129056984905</v>
          </cell>
        </row>
        <row r="49">
          <cell r="BL49">
            <v>-1214.9292228754421</v>
          </cell>
        </row>
        <row r="50">
          <cell r="BL50">
            <v>-31.79136450303281</v>
          </cell>
        </row>
      </sheetData>
      <sheetData sheetId="14"/>
      <sheetData sheetId="15"/>
      <sheetData sheetId="16"/>
      <sheetData sheetId="17">
        <row r="3">
          <cell r="G3">
            <v>9062.8853700065429</v>
          </cell>
        </row>
      </sheetData>
      <sheetData sheetId="18"/>
      <sheetData sheetId="19"/>
      <sheetData sheetId="20"/>
      <sheetData sheetId="21"/>
      <sheetData sheetId="22">
        <row r="1">
          <cell r="B1">
            <v>33.373800000000003</v>
          </cell>
        </row>
        <row r="2">
          <cell r="B2">
            <v>33.368400000000001</v>
          </cell>
        </row>
        <row r="20">
          <cell r="B20">
            <v>3132.222213</v>
          </cell>
        </row>
        <row r="22">
          <cell r="B22">
            <v>46.673248341693004</v>
          </cell>
        </row>
        <row r="24">
          <cell r="B24">
            <v>9.8862451297540872</v>
          </cell>
        </row>
        <row r="25">
          <cell r="B25">
            <v>963.32282555531515</v>
          </cell>
        </row>
        <row r="27">
          <cell r="B27">
            <v>642.02555300000017</v>
          </cell>
        </row>
        <row r="28">
          <cell r="B28">
            <v>424.43402800000001</v>
          </cell>
        </row>
        <row r="31">
          <cell r="B31">
            <v>30.150999999999982</v>
          </cell>
        </row>
        <row r="33">
          <cell r="B33">
            <v>-264.65753424657555</v>
          </cell>
        </row>
        <row r="36">
          <cell r="B36">
            <v>5061.3676620326087</v>
          </cell>
        </row>
        <row r="57">
          <cell r="B57">
            <v>4600.9960000000001</v>
          </cell>
        </row>
        <row r="91">
          <cell r="B91">
            <v>14874.072</v>
          </cell>
        </row>
        <row r="94">
          <cell r="B94">
            <v>2006.3019999999999</v>
          </cell>
        </row>
        <row r="95">
          <cell r="B95">
            <v>110635.743</v>
          </cell>
        </row>
        <row r="101">
          <cell r="B101">
            <v>92766.872999999992</v>
          </cell>
        </row>
        <row r="102">
          <cell r="B102">
            <v>-44.096207935535013</v>
          </cell>
        </row>
        <row r="104">
          <cell r="B104">
            <v>25136.717668448793</v>
          </cell>
        </row>
      </sheetData>
      <sheetData sheetId="23"/>
      <sheetData sheetId="24"/>
      <sheetData sheetId="25">
        <row r="1">
          <cell r="K1">
            <v>35.402340163934419</v>
          </cell>
        </row>
      </sheetData>
      <sheetData sheetId="26">
        <row r="21">
          <cell r="N21">
            <v>3134.6501813528021</v>
          </cell>
        </row>
      </sheetData>
      <sheetData sheetId="27"/>
      <sheetData sheetId="28"/>
      <sheetData sheetId="29"/>
      <sheetData sheetId="30"/>
      <sheetData sheetId="31"/>
      <sheetData sheetId="3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Qs"/>
      <sheetName val="Summary"/>
      <sheetName val="Technon PET consumption_11Oct16"/>
      <sheetName val="PTA Asia"/>
      <sheetName val="PTA Asia (Ratio of NCE) "/>
      <sheetName val="Asia Analysis"/>
      <sheetName val="By company"/>
      <sheetName val="EBITDA bridge"/>
      <sheetName val="EPS Calculation"/>
      <sheetName val="Financials"/>
      <sheetName val="HVA INfo"/>
      <sheetName val="CMD 2018 Capex"/>
      <sheetName val="BS and NWC"/>
      <sheetName val="NCI"/>
      <sheetName val="Sheet2"/>
      <sheetName val="Analysis of Core EPS"/>
      <sheetName val="Analysis"/>
      <sheetName val="Sheet1"/>
      <sheetName val="Exch rates"/>
      <sheetName val="Sheet3"/>
      <sheetName val="MDA table"/>
      <sheetName val="EBITDA table (VJ)"/>
      <sheetName val="Conso_table"/>
      <sheetName val="Restated"/>
      <sheetName val="Conso USD (2)"/>
      <sheetName val="Conso THB"/>
      <sheetName val="Conso USD"/>
      <sheetName val="Restate 2015"/>
      <sheetName val="PETwPck"/>
      <sheetName val="Poly+Wool"/>
      <sheetName val="Exchgrate"/>
      <sheetName val="Customers sales profile"/>
      <sheetName val="Feedstock"/>
      <sheetName val="loans to"/>
    </sheetNames>
    <sheetDataSet>
      <sheetData sheetId="0"/>
      <sheetData sheetId="1"/>
      <sheetData sheetId="2">
        <row r="12">
          <cell r="B12" t="str">
            <v>Consumption in CSD Bottles</v>
          </cell>
        </row>
      </sheetData>
      <sheetData sheetId="3"/>
      <sheetData sheetId="4"/>
      <sheetData sheetId="5"/>
      <sheetData sheetId="6">
        <row r="2">
          <cell r="AN2">
            <v>35.646999999999998</v>
          </cell>
        </row>
        <row r="197">
          <cell r="AX197">
            <v>2659591.7227560258</v>
          </cell>
        </row>
        <row r="389">
          <cell r="AX389">
            <v>2325123.5703522889</v>
          </cell>
        </row>
        <row r="1592">
          <cell r="AX1592">
            <v>573.27859737901099</v>
          </cell>
        </row>
        <row r="2584">
          <cell r="AX2584">
            <v>93.583741255025458</v>
          </cell>
        </row>
      </sheetData>
      <sheetData sheetId="7"/>
      <sheetData sheetId="8">
        <row r="103">
          <cell r="B103">
            <v>5411650691</v>
          </cell>
        </row>
      </sheetData>
      <sheetData sheetId="9">
        <row r="20">
          <cell r="AT20">
            <v>0</v>
          </cell>
        </row>
      </sheetData>
      <sheetData sheetId="10"/>
      <sheetData sheetId="11"/>
      <sheetData sheetId="12"/>
      <sheetData sheetId="13"/>
      <sheetData sheetId="14"/>
      <sheetData sheetId="15"/>
      <sheetData sheetId="16"/>
      <sheetData sheetId="17"/>
      <sheetData sheetId="18"/>
      <sheetData sheetId="19"/>
      <sheetData sheetId="20">
        <row r="22">
          <cell r="CV22">
            <v>5528.6980188760181</v>
          </cell>
        </row>
        <row r="48">
          <cell r="CV48">
            <v>-189.37865765538601</v>
          </cell>
        </row>
        <row r="49">
          <cell r="CV49">
            <v>0</v>
          </cell>
        </row>
        <row r="50">
          <cell r="CV50">
            <v>-4.9950657906240155</v>
          </cell>
        </row>
      </sheetData>
      <sheetData sheetId="21">
        <row r="3">
          <cell r="B3">
            <v>2325.1235703522884</v>
          </cell>
        </row>
      </sheetData>
      <sheetData sheetId="22">
        <row r="44">
          <cell r="EP44">
            <v>2653.4943345375668</v>
          </cell>
        </row>
      </sheetData>
      <sheetData sheetId="23"/>
      <sheetData sheetId="24"/>
      <sheetData sheetId="25">
        <row r="1">
          <cell r="B1">
            <v>31.542200000000001</v>
          </cell>
        </row>
        <row r="2">
          <cell r="B2">
            <v>31.2318</v>
          </cell>
        </row>
        <row r="20">
          <cell r="B20">
            <v>3050.6260000000002</v>
          </cell>
        </row>
        <row r="22">
          <cell r="B22">
            <v>-42.195999999999998</v>
          </cell>
        </row>
        <row r="24">
          <cell r="B24">
            <v>36.927</v>
          </cell>
        </row>
        <row r="25">
          <cell r="B25">
            <v>891.05600000000004</v>
          </cell>
        </row>
        <row r="27">
          <cell r="B27">
            <v>834.032689</v>
          </cell>
        </row>
        <row r="28">
          <cell r="B28">
            <v>47.129565999999997</v>
          </cell>
        </row>
        <row r="31">
          <cell r="B31">
            <v>26.571999999999999</v>
          </cell>
        </row>
        <row r="33">
          <cell r="B33">
            <v>-258.90410958904113</v>
          </cell>
        </row>
        <row r="36">
          <cell r="B36">
            <v>5345.1549869999999</v>
          </cell>
        </row>
        <row r="57">
          <cell r="B57">
            <v>13342.837</v>
          </cell>
        </row>
        <row r="91">
          <cell r="B91">
            <v>14874.072</v>
          </cell>
        </row>
        <row r="94">
          <cell r="B94">
            <v>1786.7639999999999</v>
          </cell>
        </row>
        <row r="95">
          <cell r="B95">
            <v>127912.88099999999</v>
          </cell>
        </row>
        <row r="101">
          <cell r="B101">
            <v>90728.180000000008</v>
          </cell>
        </row>
        <row r="102">
          <cell r="B102">
            <v>-136.80103098894492</v>
          </cell>
        </row>
        <row r="104">
          <cell r="B104">
            <v>27236.301417741004</v>
          </cell>
        </row>
      </sheetData>
      <sheetData sheetId="26">
        <row r="1">
          <cell r="B1">
            <v>31.542200000000001</v>
          </cell>
        </row>
      </sheetData>
      <sheetData sheetId="27"/>
      <sheetData sheetId="28">
        <row r="67">
          <cell r="EP67">
            <v>708.18612382291485</v>
          </cell>
        </row>
      </sheetData>
      <sheetData sheetId="29">
        <row r="76">
          <cell r="EP76">
            <v>491.25524778433805</v>
          </cell>
        </row>
      </sheetData>
      <sheetData sheetId="30"/>
      <sheetData sheetId="31"/>
      <sheetData sheetId="32">
        <row r="119">
          <cell r="EP119">
            <v>885.41811312867299</v>
          </cell>
        </row>
      </sheetData>
      <sheetData sheetId="3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ayback"/>
      <sheetName val="8 Qs"/>
      <sheetName val="Summary"/>
      <sheetName val="By company"/>
      <sheetName val="EBITDA bridge"/>
      <sheetName val="HVA INfo"/>
      <sheetName val="MDA table"/>
      <sheetName val="Analysis of Core EPS"/>
      <sheetName val="EBITDA table (VJ)"/>
      <sheetName val="Sheet1"/>
      <sheetName val="Financials"/>
      <sheetName val="Exch rates"/>
      <sheetName val="Conso_table"/>
      <sheetName val="Restated"/>
      <sheetName val="Conso THB"/>
      <sheetName val="Conso USD"/>
      <sheetName val="PETwPck"/>
      <sheetName val="Poly+Wool"/>
      <sheetName val="Exchgrate"/>
      <sheetName val="Customers sales profile"/>
      <sheetName val="By Company Data"/>
      <sheetName val="HVA_Comm"/>
      <sheetName val="By Segment"/>
      <sheetName val="By Region"/>
      <sheetName val="Workings"/>
      <sheetName val="Feedstock"/>
      <sheetName val="loans to"/>
      <sheetName val="EBITDA table"/>
      <sheetName val="Sheet2"/>
    </sheetNames>
    <sheetDataSet>
      <sheetData sheetId="0"/>
      <sheetData sheetId="1"/>
      <sheetData sheetId="2"/>
      <sheetData sheetId="3">
        <row r="2">
          <cell r="R2">
            <v>31.701000000000001</v>
          </cell>
        </row>
      </sheetData>
      <sheetData sheetId="4"/>
      <sheetData sheetId="5"/>
      <sheetData sheetId="6"/>
      <sheetData sheetId="7">
        <row r="30">
          <cell r="C30">
            <v>4.7152385191973041</v>
          </cell>
        </row>
      </sheetData>
      <sheetData sheetId="8"/>
      <sheetData sheetId="9"/>
      <sheetData sheetId="10">
        <row r="16">
          <cell r="AJ16">
            <v>72.500690095261362</v>
          </cell>
        </row>
        <row r="165">
          <cell r="W165">
            <v>50.792906245172738</v>
          </cell>
          <cell r="X165">
            <v>69.166762761341445</v>
          </cell>
          <cell r="Y165">
            <v>30.20428364581791</v>
          </cell>
          <cell r="Z165">
            <v>33.955720549655638</v>
          </cell>
        </row>
        <row r="166">
          <cell r="W166">
            <v>8.0509544209302319</v>
          </cell>
          <cell r="X166">
            <v>11.514856588339729</v>
          </cell>
          <cell r="Y166">
            <v>13.502184133265498</v>
          </cell>
          <cell r="Z166">
            <v>9.6475749478533857</v>
          </cell>
        </row>
      </sheetData>
      <sheetData sheetId="11"/>
      <sheetData sheetId="12">
        <row r="33">
          <cell r="B33">
            <v>2022165.975342466</v>
          </cell>
        </row>
      </sheetData>
      <sheetData sheetId="13"/>
      <sheetData sheetId="14">
        <row r="1">
          <cell r="B1">
            <v>33.287399999999998</v>
          </cell>
          <cell r="BL1">
            <v>30.729800000000001</v>
          </cell>
          <cell r="BU1">
            <v>30.411000000000001</v>
          </cell>
          <cell r="CG1">
            <v>29.855</v>
          </cell>
        </row>
        <row r="20">
          <cell r="D20">
            <v>2045.2550000000001</v>
          </cell>
          <cell r="O20">
            <v>2049.5434445339069</v>
          </cell>
          <cell r="P20">
            <v>1918.4099999999999</v>
          </cell>
          <cell r="X20">
            <v>2085.7021160000004</v>
          </cell>
          <cell r="Y20">
            <v>1881.6859999999997</v>
          </cell>
          <cell r="AB20">
            <v>8098.9105605339073</v>
          </cell>
          <cell r="AC20">
            <v>7051.2</v>
          </cell>
          <cell r="AH20">
            <v>1796.0149999999999</v>
          </cell>
          <cell r="AQ20">
            <v>1650.4990000000003</v>
          </cell>
          <cell r="BC20">
            <v>1723</v>
          </cell>
          <cell r="BM20">
            <v>6719.134</v>
          </cell>
          <cell r="CZ20">
            <v>4776</v>
          </cell>
          <cell r="EP20">
            <v>3471</v>
          </cell>
        </row>
        <row r="22">
          <cell r="B22">
            <v>-31.884</v>
          </cell>
          <cell r="C22">
            <v>-91.778000000000006</v>
          </cell>
          <cell r="D22">
            <v>-203.97099999999998</v>
          </cell>
          <cell r="O22">
            <v>-365.34500000000003</v>
          </cell>
          <cell r="P22">
            <v>-235.727</v>
          </cell>
          <cell r="X22">
            <v>-131.61800000000005</v>
          </cell>
          <cell r="Y22">
            <v>-278.44199999999995</v>
          </cell>
          <cell r="AB22">
            <v>-936.66100000000006</v>
          </cell>
          <cell r="AC22">
            <v>-740.61799999999994</v>
          </cell>
          <cell r="AH22">
            <v>-205.91300000000001</v>
          </cell>
          <cell r="AQ22">
            <v>-79.262999999999977</v>
          </cell>
          <cell r="BC22">
            <v>-177</v>
          </cell>
          <cell r="BM22">
            <v>-889.11</v>
          </cell>
          <cell r="CZ22">
            <v>-303</v>
          </cell>
          <cell r="EP22">
            <v>0</v>
          </cell>
        </row>
        <row r="23">
          <cell r="D23">
            <v>274.08760000000012</v>
          </cell>
          <cell r="O23">
            <v>10.594765883350192</v>
          </cell>
          <cell r="P23">
            <v>-55.053599999999996</v>
          </cell>
          <cell r="X23">
            <v>-287.62176588335012</v>
          </cell>
          <cell r="Y23">
            <v>-567.50199999999995</v>
          </cell>
          <cell r="AB23">
            <v>-57.992999999999824</v>
          </cell>
          <cell r="AC23">
            <v>191.93699999999995</v>
          </cell>
          <cell r="AH23">
            <v>365.58499999999975</v>
          </cell>
          <cell r="AQ23">
            <v>102.75400000000008</v>
          </cell>
          <cell r="BC23">
            <v>291.10000000000002</v>
          </cell>
          <cell r="BM23">
            <v>1349.26</v>
          </cell>
          <cell r="CZ23">
            <v>6001.42</v>
          </cell>
          <cell r="EP23">
            <v>2451</v>
          </cell>
        </row>
        <row r="24">
          <cell r="B24">
            <v>22.576999999999998</v>
          </cell>
          <cell r="C24">
            <v>72.92</v>
          </cell>
          <cell r="D24">
            <v>11.288</v>
          </cell>
          <cell r="O24">
            <v>37.525434788471699</v>
          </cell>
          <cell r="P24">
            <v>9.6539999999999999</v>
          </cell>
          <cell r="X24">
            <v>13.148000000000003</v>
          </cell>
          <cell r="Y24">
            <v>-12.344999999999999</v>
          </cell>
          <cell r="AB24">
            <v>71.615434788471703</v>
          </cell>
          <cell r="AC24">
            <v>152.62299999999999</v>
          </cell>
          <cell r="AH24">
            <v>25.164999999999992</v>
          </cell>
          <cell r="AQ24">
            <v>36.802999999999997</v>
          </cell>
          <cell r="BC24">
            <v>103</v>
          </cell>
          <cell r="BM24">
            <v>272.62</v>
          </cell>
          <cell r="CZ24">
            <v>487</v>
          </cell>
          <cell r="EP24">
            <v>7</v>
          </cell>
        </row>
        <row r="25">
          <cell r="B25">
            <v>914.85400000000016</v>
          </cell>
          <cell r="C25">
            <v>889.16099999999994</v>
          </cell>
          <cell r="D25">
            <v>917.84799999999996</v>
          </cell>
          <cell r="O25">
            <v>865.08399999999983</v>
          </cell>
          <cell r="P25">
            <v>865.2</v>
          </cell>
          <cell r="X25">
            <v>904.19600000000014</v>
          </cell>
          <cell r="Y25">
            <v>1022.3009999999999</v>
          </cell>
          <cell r="AB25">
            <v>3552.328</v>
          </cell>
          <cell r="AC25">
            <v>3779.875</v>
          </cell>
          <cell r="AH25">
            <v>919.5630000000001</v>
          </cell>
          <cell r="AQ25">
            <v>927.01099999999997</v>
          </cell>
          <cell r="BC25">
            <v>911</v>
          </cell>
          <cell r="BM25">
            <v>3447.14</v>
          </cell>
          <cell r="CZ25">
            <v>2370</v>
          </cell>
          <cell r="EP25">
            <v>1303</v>
          </cell>
        </row>
        <row r="27">
          <cell r="B27">
            <v>283.12132261325098</v>
          </cell>
          <cell r="C27">
            <v>169.807561386749</v>
          </cell>
          <cell r="D27">
            <v>204.29498699999999</v>
          </cell>
          <cell r="O27">
            <v>-38.708804239346989</v>
          </cell>
          <cell r="P27">
            <v>107.085013</v>
          </cell>
          <cell r="X27">
            <v>178.54470904200002</v>
          </cell>
          <cell r="Y27">
            <v>-24.958000000000027</v>
          </cell>
          <cell r="AB27">
            <v>451.21590480265303</v>
          </cell>
          <cell r="AC27">
            <v>302.488</v>
          </cell>
          <cell r="AH27">
            <v>148.04000000000002</v>
          </cell>
          <cell r="AQ27">
            <v>102.13000000000001</v>
          </cell>
          <cell r="BC27">
            <v>77.275999999999996</v>
          </cell>
          <cell r="BM27">
            <v>579.75699999999995</v>
          </cell>
          <cell r="CZ27">
            <v>742</v>
          </cell>
          <cell r="EP27">
            <v>488</v>
          </cell>
        </row>
        <row r="28">
          <cell r="D28">
            <v>302.52727900000002</v>
          </cell>
          <cell r="O28">
            <v>354.16770603000009</v>
          </cell>
          <cell r="P28">
            <v>367.58672100000001</v>
          </cell>
          <cell r="X28">
            <v>138.96498846999998</v>
          </cell>
          <cell r="Y28">
            <v>364.29300000000001</v>
          </cell>
          <cell r="AB28">
            <v>1163.2466945000001</v>
          </cell>
          <cell r="AC28">
            <v>991.404</v>
          </cell>
          <cell r="AH28">
            <v>226.82599999999996</v>
          </cell>
          <cell r="AQ28">
            <v>289.41900000000004</v>
          </cell>
          <cell r="BC28">
            <v>110.866</v>
          </cell>
          <cell r="BM28">
            <v>1492.046</v>
          </cell>
        </row>
        <row r="31">
          <cell r="D31">
            <v>115.38400000000001</v>
          </cell>
          <cell r="O31">
            <v>63.315995615763171</v>
          </cell>
          <cell r="P31">
            <v>75.296999999999997</v>
          </cell>
          <cell r="X31">
            <v>31.189999999999998</v>
          </cell>
          <cell r="Y31">
            <v>13.244999999999976</v>
          </cell>
          <cell r="AB31">
            <v>285.18699561576318</v>
          </cell>
          <cell r="AC31">
            <v>190.71199999999999</v>
          </cell>
          <cell r="AH31">
            <v>108.41100000000002</v>
          </cell>
          <cell r="AQ31">
            <v>52.055999999999997</v>
          </cell>
          <cell r="BC31">
            <v>17</v>
          </cell>
          <cell r="BM31">
            <v>164.363</v>
          </cell>
          <cell r="CZ31">
            <v>-139</v>
          </cell>
          <cell r="EP31">
            <v>560</v>
          </cell>
        </row>
        <row r="57">
          <cell r="B57">
            <v>5551.4601759277011</v>
          </cell>
          <cell r="D57">
            <v>3787.16</v>
          </cell>
          <cell r="O57">
            <v>10521.412674759842</v>
          </cell>
          <cell r="P57">
            <v>4493.0219999999999</v>
          </cell>
          <cell r="X57">
            <v>3564.895</v>
          </cell>
          <cell r="Y57">
            <v>4376.9900000000007</v>
          </cell>
          <cell r="AB57">
            <v>10521.412674759842</v>
          </cell>
          <cell r="AC57">
            <v>4376.9900000000007</v>
          </cell>
          <cell r="AH57">
            <v>3709.9500000000003</v>
          </cell>
          <cell r="AQ57">
            <v>4366.223</v>
          </cell>
          <cell r="BC57">
            <v>5715.6</v>
          </cell>
          <cell r="BM57">
            <v>4601.7569999999996</v>
          </cell>
          <cell r="CZ57">
            <v>17707</v>
          </cell>
          <cell r="EP57">
            <v>2024</v>
          </cell>
        </row>
        <row r="90">
          <cell r="B90">
            <v>14874.07167302</v>
          </cell>
          <cell r="C90">
            <v>14874.07167302</v>
          </cell>
          <cell r="D90">
            <v>0</v>
          </cell>
          <cell r="O90">
            <v>14874.07167302</v>
          </cell>
          <cell r="P90">
            <v>0</v>
          </cell>
          <cell r="X90">
            <v>0</v>
          </cell>
          <cell r="Y90">
            <v>0</v>
          </cell>
          <cell r="AB90">
            <v>14874.07167302</v>
          </cell>
          <cell r="AC90">
            <v>0</v>
          </cell>
          <cell r="AH90">
            <v>0</v>
          </cell>
          <cell r="AQ90">
            <v>0</v>
          </cell>
          <cell r="BC90">
            <v>0</v>
          </cell>
          <cell r="BM90">
            <v>0</v>
          </cell>
          <cell r="CZ90">
            <v>0</v>
          </cell>
          <cell r="EP90">
            <v>0</v>
          </cell>
        </row>
        <row r="94">
          <cell r="D94">
            <v>63118.030543373323</v>
          </cell>
          <cell r="P94">
            <v>61395.576999999997</v>
          </cell>
          <cell r="X94">
            <v>61171.685541068968</v>
          </cell>
          <cell r="Y94">
            <v>61567.762999999999</v>
          </cell>
          <cell r="AH94">
            <v>58760.79</v>
          </cell>
          <cell r="AQ94">
            <v>57234.82</v>
          </cell>
          <cell r="BC94">
            <v>54007.3</v>
          </cell>
          <cell r="BM94">
            <v>56564.706999999995</v>
          </cell>
          <cell r="CZ94">
            <v>58766</v>
          </cell>
          <cell r="EP94">
            <v>32241</v>
          </cell>
        </row>
        <row r="100">
          <cell r="B100">
            <v>79030.668024987623</v>
          </cell>
          <cell r="D100">
            <v>82279.580249575112</v>
          </cell>
          <cell r="O100">
            <v>73293.569863471726</v>
          </cell>
          <cell r="P100">
            <v>82872.926999999996</v>
          </cell>
          <cell r="X100">
            <v>80253.555769527709</v>
          </cell>
          <cell r="Y100">
            <v>85266.07</v>
          </cell>
          <cell r="AB100">
            <v>73293.569863471726</v>
          </cell>
          <cell r="AC100">
            <v>85266.07</v>
          </cell>
          <cell r="AH100">
            <v>81631.187999999995</v>
          </cell>
          <cell r="AQ100">
            <v>81514.714000000007</v>
          </cell>
          <cell r="BC100">
            <v>80750.8</v>
          </cell>
          <cell r="BM100">
            <v>80629.5</v>
          </cell>
          <cell r="CZ100">
            <v>61346</v>
          </cell>
          <cell r="EP100">
            <v>32068</v>
          </cell>
        </row>
        <row r="101">
          <cell r="B101">
            <v>481.08433933635894</v>
          </cell>
          <cell r="D101">
            <v>244.26627098324661</v>
          </cell>
          <cell r="O101">
            <v>116.61944997895721</v>
          </cell>
          <cell r="P101">
            <v>24.948942626786195</v>
          </cell>
          <cell r="X101">
            <v>244.43375023717252</v>
          </cell>
          <cell r="Y101">
            <v>-24.928536897370122</v>
          </cell>
          <cell r="AB101">
            <v>116.61944997895721</v>
          </cell>
          <cell r="AC101">
            <v>-24.928536897370122</v>
          </cell>
          <cell r="AH101">
            <v>69.47637055725977</v>
          </cell>
          <cell r="AQ101">
            <v>55.069337585798664</v>
          </cell>
          <cell r="BC101">
            <v>25.3826943598852</v>
          </cell>
          <cell r="BM101">
            <v>29.181125904138767</v>
          </cell>
          <cell r="CZ101">
            <v>0</v>
          </cell>
          <cell r="EP101">
            <v>0</v>
          </cell>
        </row>
        <row r="103">
          <cell r="B103">
            <v>5568.6256771612698</v>
          </cell>
          <cell r="D103">
            <v>6189.1612591057401</v>
          </cell>
          <cell r="O103">
            <v>4642.7640000000001</v>
          </cell>
          <cell r="P103">
            <v>5556.8604547102332</v>
          </cell>
          <cell r="X103">
            <v>6188.1859999999997</v>
          </cell>
          <cell r="Y103">
            <v>7922.7349999999997</v>
          </cell>
          <cell r="AB103">
            <v>4642.7640000000001</v>
          </cell>
          <cell r="AC103">
            <v>7922.7349999999997</v>
          </cell>
          <cell r="AH103">
            <v>6705.2207351291809</v>
          </cell>
          <cell r="AQ103">
            <v>6676.3022775914696</v>
          </cell>
          <cell r="BC103">
            <v>7102.0716410933301</v>
          </cell>
          <cell r="BM103">
            <v>4937.3659093819924</v>
          </cell>
          <cell r="CZ103">
            <v>6692</v>
          </cell>
          <cell r="EP103">
            <v>0</v>
          </cell>
        </row>
      </sheetData>
      <sheetData sheetId="15">
        <row r="1">
          <cell r="G1">
            <v>32.9559</v>
          </cell>
        </row>
      </sheetData>
      <sheetData sheetId="16">
        <row r="1">
          <cell r="C1">
            <v>32.646173770491792</v>
          </cell>
        </row>
      </sheetData>
      <sheetData sheetId="17">
        <row r="1">
          <cell r="C1">
            <v>32.646173770491792</v>
          </cell>
        </row>
      </sheetData>
      <sheetData sheetId="18"/>
      <sheetData sheetId="19"/>
      <sheetData sheetId="20"/>
      <sheetData sheetId="21"/>
      <sheetData sheetId="22"/>
      <sheetData sheetId="23"/>
      <sheetData sheetId="24"/>
      <sheetData sheetId="25">
        <row r="1">
          <cell r="C1">
            <v>32.646173770491792</v>
          </cell>
        </row>
      </sheetData>
      <sheetData sheetId="26"/>
      <sheetData sheetId="27"/>
      <sheetData sheetId="2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Qs"/>
      <sheetName val="Summary"/>
      <sheetName val="Technon PET consumption_11Oct16"/>
      <sheetName val="By company"/>
      <sheetName val="PTA Asia"/>
      <sheetName val="PTA Asia (Ratio of NCE) "/>
      <sheetName val="EBITDA bridge"/>
      <sheetName val="Financials"/>
      <sheetName val="HVA INfo"/>
      <sheetName val="BS and NWC"/>
      <sheetName val="NCI"/>
      <sheetName val="EPS Calculation"/>
      <sheetName val="MDA table"/>
      <sheetName val="Sheet2"/>
      <sheetName val="Analysis of Core EPS"/>
      <sheetName val="Analysis"/>
      <sheetName val="EBITDA table (VJ)"/>
      <sheetName val="Sheet1"/>
      <sheetName val="Exch rates"/>
      <sheetName val="Conso_table"/>
      <sheetName val="Conso THB"/>
      <sheetName val="Restated"/>
      <sheetName val="Conso USD (2)"/>
      <sheetName val="Conso USD"/>
      <sheetName val="Restate 2015"/>
      <sheetName val="PETwPck"/>
      <sheetName val="Poly+Wool"/>
      <sheetName val="Exchgrate"/>
      <sheetName val="Customers sales profile"/>
      <sheetName val="Feedstock"/>
      <sheetName val="loans to"/>
    </sheetNames>
    <sheetDataSet>
      <sheetData sheetId="0"/>
      <sheetData sheetId="1"/>
      <sheetData sheetId="2"/>
      <sheetData sheetId="3">
        <row r="2">
          <cell r="AI2">
            <v>32.646173770491792</v>
          </cell>
        </row>
        <row r="1429">
          <cell r="AS1429">
            <v>1340.9098661042663</v>
          </cell>
        </row>
        <row r="2322">
          <cell r="AS2322">
            <v>209.35759774103565</v>
          </cell>
        </row>
      </sheetData>
      <sheetData sheetId="4"/>
      <sheetData sheetId="5"/>
      <sheetData sheetId="6"/>
      <sheetData sheetId="7">
        <row r="20">
          <cell r="AO20">
            <v>-0.29350092697729324</v>
          </cell>
        </row>
      </sheetData>
      <sheetData sheetId="8"/>
      <sheetData sheetId="9"/>
      <sheetData sheetId="10"/>
      <sheetData sheetId="11"/>
      <sheetData sheetId="12">
        <row r="15">
          <cell r="AK15">
            <v>4872.4321338957325</v>
          </cell>
        </row>
        <row r="45">
          <cell r="AK45">
            <v>-72.836029231999987</v>
          </cell>
        </row>
        <row r="46">
          <cell r="AK46">
            <v>0</v>
          </cell>
        </row>
        <row r="47">
          <cell r="AK47">
            <v>45.989523138615006</v>
          </cell>
        </row>
      </sheetData>
      <sheetData sheetId="13"/>
      <sheetData sheetId="14"/>
      <sheetData sheetId="15"/>
      <sheetData sheetId="16">
        <row r="3">
          <cell r="G3">
            <v>9152.2932951810471</v>
          </cell>
        </row>
      </sheetData>
      <sheetData sheetId="17"/>
      <sheetData sheetId="18"/>
      <sheetData sheetId="19"/>
      <sheetData sheetId="20">
        <row r="1">
          <cell r="B1">
            <v>35.106046774193558</v>
          </cell>
        </row>
        <row r="20">
          <cell r="B20">
            <v>2809.0079999999998</v>
          </cell>
        </row>
        <row r="22">
          <cell r="B22">
            <v>146.482</v>
          </cell>
        </row>
        <row r="24">
          <cell r="B24">
            <v>19.744</v>
          </cell>
        </row>
        <row r="25">
          <cell r="B25">
            <v>1005.204</v>
          </cell>
        </row>
        <row r="27">
          <cell r="B27">
            <v>513.85599999999999</v>
          </cell>
        </row>
        <row r="28">
          <cell r="B28">
            <v>336.40300000000002</v>
          </cell>
        </row>
        <row r="31">
          <cell r="B31">
            <v>70.789000000000001</v>
          </cell>
        </row>
        <row r="33">
          <cell r="B33">
            <v>-258.904</v>
          </cell>
        </row>
        <row r="57">
          <cell r="B57">
            <v>4994.6189999999997</v>
          </cell>
        </row>
        <row r="91">
          <cell r="B91">
            <v>14874.072</v>
          </cell>
        </row>
        <row r="94">
          <cell r="B94">
            <v>2634.3989999999999</v>
          </cell>
        </row>
        <row r="95">
          <cell r="B95">
            <v>93440.168000000005</v>
          </cell>
          <cell r="CW95">
            <v>61567.762999999999</v>
          </cell>
        </row>
        <row r="101">
          <cell r="B101">
            <v>98501.267000000007</v>
          </cell>
        </row>
        <row r="102">
          <cell r="B102">
            <v>133.38956509030569</v>
          </cell>
        </row>
        <row r="104">
          <cell r="B104">
            <v>18421.679024350226</v>
          </cell>
        </row>
      </sheetData>
      <sheetData sheetId="21"/>
      <sheetData sheetId="22"/>
      <sheetData sheetId="23">
        <row r="1">
          <cell r="B1">
            <v>35.106046774193558</v>
          </cell>
        </row>
      </sheetData>
      <sheetData sheetId="24"/>
      <sheetData sheetId="25"/>
      <sheetData sheetId="26"/>
      <sheetData sheetId="27"/>
      <sheetData sheetId="28"/>
      <sheetData sheetId="29"/>
      <sheetData sheetId="3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EPS"/>
      <sheetName val="Q4'2014"/>
      <sheetName val="Q4'2015"/>
      <sheetName val="Q4'2016"/>
    </sheetNames>
    <sheetDataSet>
      <sheetData sheetId="0">
        <row r="4">
          <cell r="B4">
            <v>0.31089008712467087</v>
          </cell>
        </row>
      </sheetData>
      <sheetData sheetId="1">
        <row r="11">
          <cell r="B11">
            <v>-178356164.383562</v>
          </cell>
        </row>
      </sheetData>
      <sheetData sheetId="2">
        <row r="11">
          <cell r="B11">
            <v>-258904109.58904099</v>
          </cell>
          <cell r="F11">
            <v>-520684931.50684899</v>
          </cell>
          <cell r="J11">
            <v>-785342465.753425</v>
          </cell>
        </row>
      </sheetData>
      <sheetData sheetId="3">
        <row r="11">
          <cell r="B11">
            <v>-261780821.917808</v>
          </cell>
          <cell r="F11">
            <v>-522131147.54098397</v>
          </cell>
          <cell r="J11">
            <v>-786065573.77049196</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L Abridged Model 2016 CMD"/>
      <sheetName val="workings"/>
      <sheetName val="IVL Model"/>
      <sheetName val="Free Cash Flow Deployment"/>
      <sheetName val="Head Room Analysis"/>
      <sheetName val="presentation"/>
      <sheetName val="Production"/>
      <sheetName val="Revenue"/>
      <sheetName val="Core Delta ($)"/>
      <sheetName val="Core Delta per t"/>
      <sheetName val="EBITDA Bridge"/>
      <sheetName val="EBITDA Bridge (new)"/>
      <sheetName val="EBITDA Bridge 17-18"/>
      <sheetName val="EBITDA Bridge 18-19"/>
      <sheetName val="EBITDA Bridge 19-20"/>
      <sheetName val="EBITDA Bridge 20-21"/>
      <sheetName val="EBITDA Bridge 16-17"/>
      <sheetName val="EBITDA ($)"/>
      <sheetName val="EBITDA per t"/>
      <sheetName val="Growth Capex"/>
      <sheetName val="Maint Capex"/>
      <sheetName val="CMD 2018 Capex"/>
      <sheetName val="CMD 2017 Capex"/>
      <sheetName val="Dhunseri and MPET"/>
    </sheetNames>
    <sheetDataSet>
      <sheetData sheetId="0"/>
      <sheetData sheetId="1"/>
      <sheetData sheetId="2">
        <row r="4">
          <cell r="I4">
            <v>-761.54281512316038</v>
          </cell>
        </row>
        <row r="256">
          <cell r="J256">
            <v>3.7393854528733166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Qs"/>
      <sheetName val="Summary"/>
      <sheetName val="Technon PET consumption_11Oct16"/>
      <sheetName val="By company"/>
      <sheetName val="PTA Asia"/>
      <sheetName val="PTA Asia (Ratio of NCE) "/>
      <sheetName val="Asia Analysis"/>
      <sheetName val="EBITDA bridge"/>
      <sheetName val="Financials"/>
      <sheetName val="HVA INfo"/>
      <sheetName val="CMD 2018 Capex"/>
      <sheetName val="BS and NWC"/>
      <sheetName val="NCI"/>
      <sheetName val="EPS Calculation"/>
      <sheetName val="MDA table"/>
      <sheetName val="Sheet2"/>
      <sheetName val="Analysis of Core EPS"/>
      <sheetName val="Analysis"/>
      <sheetName val="EBITDA table (VJ)"/>
      <sheetName val="Sheet1"/>
      <sheetName val="Exch rates"/>
      <sheetName val="Conso_table"/>
      <sheetName val="Sheet3"/>
      <sheetName val="Conso THB"/>
      <sheetName val="Restated"/>
      <sheetName val="Conso USD (2)"/>
      <sheetName val="Conso USD"/>
      <sheetName val="Restate 2015"/>
      <sheetName val="PETwPck"/>
      <sheetName val="Poly+Wool"/>
      <sheetName val="Exchgrate"/>
      <sheetName val="Customers sales profile"/>
      <sheetName val="Feedstock"/>
      <sheetName val="loans to"/>
      <sheetName val="Sheet4"/>
    </sheetNames>
    <sheetDataSet>
      <sheetData sheetId="0"/>
      <sheetData sheetId="1"/>
      <sheetData sheetId="2"/>
      <sheetData sheetId="3">
        <row r="2">
          <cell r="AR2">
            <v>35.289700000000003</v>
          </cell>
        </row>
        <row r="191">
          <cell r="AZ191">
            <v>2706110.1730595971</v>
          </cell>
          <cell r="BA191">
            <v>2844015.9377378491</v>
          </cell>
          <cell r="BB191">
            <v>3055545.1821467322</v>
          </cell>
          <cell r="BC191">
            <v>3035773.5877611977</v>
          </cell>
        </row>
        <row r="377">
          <cell r="AZ377">
            <v>2437296.0677354946</v>
          </cell>
          <cell r="BA377">
            <v>2584721.9397466993</v>
          </cell>
          <cell r="BB377">
            <v>2827356.2907608417</v>
          </cell>
          <cell r="BC377">
            <v>2745118.6897773608</v>
          </cell>
          <cell r="BD377">
            <v>10594492.988020396</v>
          </cell>
        </row>
      </sheetData>
      <sheetData sheetId="4"/>
      <sheetData sheetId="5"/>
      <sheetData sheetId="6"/>
      <sheetData sheetId="7"/>
      <sheetData sheetId="8">
        <row r="3">
          <cell r="AX3">
            <v>11.641444880705377</v>
          </cell>
        </row>
      </sheetData>
      <sheetData sheetId="9"/>
      <sheetData sheetId="10"/>
      <sheetData sheetId="11">
        <row r="4">
          <cell r="AL4">
            <v>47.132933680209973</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7">
          <cell r="G27">
            <v>51.052574602247844</v>
          </cell>
        </row>
      </sheetData>
      <sheetData sheetId="27"/>
      <sheetData sheetId="28"/>
      <sheetData sheetId="29"/>
      <sheetData sheetId="30"/>
      <sheetData sheetId="31"/>
      <sheetData sheetId="32"/>
      <sheetData sheetId="33"/>
      <sheetData sheetId="3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Summary HFM"/>
      <sheetName val="Summary New"/>
      <sheetName val="maint capex-poly"/>
      <sheetName val="Financials"/>
      <sheetName val="MD&amp;A (R)"/>
      <sheetName val="MD&amp;A"/>
      <sheetName val="CFF 4Q15"/>
      <sheetName val="Both Segments"/>
      <sheetName val="DisposalPPE4Q15"/>
      <sheetName val="Other Investment4Q15"/>
      <sheetName val="PurchasePPE4Q15"/>
      <sheetName val="Acquisition4Q15"/>
      <sheetName val="Disposal Intan4Q15"/>
      <sheetName val="Purchase Intang4Q15"/>
      <sheetName val="Capex Breakup 4Q15 "/>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Acquisition3Q15"/>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Sheet6"/>
      <sheetName val="Sheet7"/>
      <sheetName val="Sheet6 (2)"/>
      <sheetName val="Sheet6 (3)"/>
      <sheetName val="Sheet1"/>
      <sheetName val="Investments"/>
      <sheetName val="Investments (2)"/>
      <sheetName val="Reconcile"/>
      <sheetName val="Sheet8"/>
    </sheetNames>
    <sheetDataSet>
      <sheetData sheetId="0"/>
      <sheetData sheetId="1">
        <row r="357">
          <cell r="D357">
            <v>174.75458153218898</v>
          </cell>
        </row>
      </sheetData>
      <sheetData sheetId="2">
        <row r="117">
          <cell r="E117">
            <v>17.621829864028086</v>
          </cell>
        </row>
      </sheetData>
      <sheetData sheetId="3"/>
      <sheetData sheetId="4"/>
      <sheetData sheetId="5">
        <row r="14">
          <cell r="B14">
            <v>-3177.9897245669003</v>
          </cell>
        </row>
      </sheetData>
      <sheetData sheetId="6">
        <row r="4">
          <cell r="B4">
            <v>22322.457336197174</v>
          </cell>
        </row>
        <row r="7">
          <cell r="B7">
            <v>24806.09969620538</v>
          </cell>
        </row>
        <row r="10">
          <cell r="B10">
            <v>-24505.941994115423</v>
          </cell>
        </row>
        <row r="11">
          <cell r="B11">
            <v>-5361.7687794224939</v>
          </cell>
        </row>
        <row r="12">
          <cell r="B12">
            <v>-1869.5559657444485</v>
          </cell>
        </row>
        <row r="13">
          <cell r="B13">
            <v>-3544.1576970618721</v>
          </cell>
        </row>
        <row r="14">
          <cell r="B14">
            <v>-3177.9897245669003</v>
          </cell>
        </row>
        <row r="43">
          <cell r="C43">
            <v>-114.3460468248104</v>
          </cell>
        </row>
        <row r="50">
          <cell r="B50">
            <v>-4655.8775649080471</v>
          </cell>
          <cell r="C50">
            <v>-4218.4502666182725</v>
          </cell>
        </row>
        <row r="51">
          <cell r="B51">
            <v>-623.74045462587173</v>
          </cell>
          <cell r="C51">
            <v>-518.5865058029483</v>
          </cell>
        </row>
        <row r="52">
          <cell r="B52">
            <v>-1223.8553064333341</v>
          </cell>
        </row>
        <row r="53">
          <cell r="B53">
            <v>-264.70372181247512</v>
          </cell>
          <cell r="C53">
            <v>-1423.5992105315158</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CFF 1Q16"/>
      <sheetName val="Summary HFM"/>
      <sheetName val="CF 4Q16"/>
      <sheetName val="Summary New"/>
      <sheetName val="Both Segments"/>
      <sheetName val="MD&amp;A (4Q16) "/>
      <sheetName val="NWC on acq THB"/>
      <sheetName val="NWC on acq USD"/>
      <sheetName val="DisposalPPE4Q16"/>
      <sheetName val="MD&amp;A (3Q16) New"/>
      <sheetName val="MD&amp;A (2Q16)"/>
      <sheetName val="MD&amp;A (3Q16) "/>
      <sheetName val="MD&amp;A"/>
      <sheetName val="CFF 3Q16"/>
      <sheetName val="Other Investment4Q16"/>
      <sheetName val="Acquisition4Q16"/>
      <sheetName val="PurchasePPE4Q16"/>
      <sheetName val="Purchase Intang4Q16"/>
      <sheetName val="Capex Breakup 4Q16 "/>
      <sheetName val="Disposal Intan4Q16"/>
      <sheetName val="PurchasePPE3Q16"/>
      <sheetName val="Other Investment3Q16"/>
      <sheetName val="Disposal Intan3Q16"/>
      <sheetName val="DisposalPPE3Q16"/>
      <sheetName val="Purchase Intang3Q16"/>
      <sheetName val="Acquisition3Q16"/>
      <sheetName val="Capex Breakup 3Q16 "/>
      <sheetName val="Acquisition2Q16"/>
      <sheetName val="CFF 2Q16"/>
      <sheetName val="CF3Q15_R"/>
      <sheetName val="DisposalPPE1Q16"/>
      <sheetName val="Purchase Intang2Q16"/>
      <sheetName val="DisposalPPE2Q16"/>
      <sheetName val="Capex Breakup 2Q16 "/>
      <sheetName val="Other Investment2Q16"/>
      <sheetName val="PurchasePPE2Q16"/>
      <sheetName val="Other Investment1Q16"/>
      <sheetName val="PurchasePPE1Q16"/>
      <sheetName val="Acquisition1Q16"/>
      <sheetName val="Purchase Intang1Q16"/>
      <sheetName val="maint capex-poly"/>
      <sheetName val="Financials"/>
      <sheetName val="Capex Breakup 1Q16 "/>
      <sheetName val="CFF 4Q15"/>
      <sheetName val="Capex Breakup 4Q15 "/>
      <sheetName val="DisposalPPE4Q15"/>
      <sheetName val="PurchasePPE4Q15"/>
      <sheetName val="Acquisition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Acquisition3Q15"/>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Investments"/>
      <sheetName val="Investments (2)"/>
      <sheetName val="Reconcile"/>
    </sheetNames>
    <sheetDataSet>
      <sheetData sheetId="0"/>
      <sheetData sheetId="1"/>
      <sheetData sheetId="2">
        <row r="357">
          <cell r="D357">
            <v>-40.17421556941607</v>
          </cell>
        </row>
      </sheetData>
      <sheetData sheetId="3"/>
      <sheetData sheetId="4">
        <row r="142">
          <cell r="E142">
            <v>25.664358301463434</v>
          </cell>
        </row>
      </sheetData>
      <sheetData sheetId="5"/>
      <sheetData sheetId="6">
        <row r="29">
          <cell r="E29">
            <v>-34034.065130735755</v>
          </cell>
        </row>
        <row r="74">
          <cell r="E74">
            <v>26209.00800683138</v>
          </cell>
        </row>
        <row r="75">
          <cell r="B75">
            <v>-3543.8332331121064</v>
          </cell>
          <cell r="E75">
            <v>-26391.267340060156</v>
          </cell>
        </row>
        <row r="76">
          <cell r="B76">
            <v>8.703978589999906</v>
          </cell>
          <cell r="E76">
            <v>-7911.205468972601</v>
          </cell>
        </row>
        <row r="77">
          <cell r="B77">
            <v>-907.53227775935648</v>
          </cell>
          <cell r="E77">
            <v>-2814.8215788079315</v>
          </cell>
        </row>
        <row r="80">
          <cell r="E80">
            <v>-1262.8351817456632</v>
          </cell>
        </row>
        <row r="81">
          <cell r="E81">
            <v>-4035.8817301491999</v>
          </cell>
        </row>
      </sheetData>
      <sheetData sheetId="7"/>
      <sheetData sheetId="8">
        <row r="4">
          <cell r="F4">
            <v>-14.018986530062396</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CFF 1Q16"/>
      <sheetName val="NTFS"/>
      <sheetName val="CF4Q17"/>
      <sheetName val="CF3Q17"/>
      <sheetName val="CF 1Q17"/>
      <sheetName val="CF 4Q16"/>
      <sheetName val="CFF 3Q16"/>
      <sheetName val="CF 2Q17"/>
      <sheetName val="Summary HFM"/>
      <sheetName val="MD&amp;A(1Q18) "/>
      <sheetName val="Summary New"/>
      <sheetName val="MD&amp;A(4Q17)"/>
      <sheetName val="Both Segments"/>
      <sheetName val="Acquisition4Q17"/>
      <sheetName val="MD&amp;A (3Q17)  "/>
      <sheetName val="MD&amp;A (2Q17) "/>
      <sheetName val="MD&amp;A (4Q16) "/>
      <sheetName val="Other Investment4Q17"/>
      <sheetName val="Other Investment3Q17"/>
      <sheetName val="DisposalPPE4Q17"/>
      <sheetName val="Disposal Intan4Q17"/>
      <sheetName val="NWC on acq THB"/>
      <sheetName val="NWC on acq USD"/>
      <sheetName val="WBRFQ4"/>
      <sheetName val="GLLVQ4"/>
      <sheetName val="DuraFiberQ4"/>
      <sheetName val="GlanzstoffQ4"/>
      <sheetName val="IVPPTAUTLQ4"/>
      <sheetName val="Acquisition3Q17"/>
      <sheetName val="GlanzstoffQ3"/>
      <sheetName val="GlanzstoffQ2"/>
      <sheetName val="PurchasePPE4Q17"/>
      <sheetName val="Purchase Intang4Q17"/>
      <sheetName val="MD&amp;A (3Q16) New"/>
      <sheetName val="MD&amp;A (1Q17) "/>
      <sheetName val="Capex Breakup 4Q17"/>
      <sheetName val="Capex Breakup 3Q17"/>
      <sheetName val="Disposal Intan3Q17"/>
      <sheetName val="DisposalPPE3Q17"/>
      <sheetName val="PurchasePPE3Q17"/>
      <sheetName val="Purchase Intang3Q17"/>
      <sheetName val="PurchasePPE2Q17"/>
      <sheetName val="Other Investment2Q17"/>
      <sheetName val="DisposalPPE2Q17"/>
      <sheetName val="Acquisition2Q17"/>
      <sheetName val="Acquisition3Q16"/>
      <sheetName val="Acquisition1Q15"/>
      <sheetName val="Acquisition4Q16"/>
      <sheetName val="Acquisition2Q16"/>
      <sheetName val="Acquisition4Q15"/>
      <sheetName val="Acquisition3Q15"/>
      <sheetName val="Acquisition2Q15"/>
      <sheetName val="MD&amp;A (2Q16)"/>
      <sheetName val="MD&amp;A (3Q16) "/>
      <sheetName val="MD&amp;A"/>
      <sheetName val="DuraFiberQ3"/>
      <sheetName val="Disposal Intan2Q17"/>
      <sheetName val="Purchase Intang2Q17"/>
      <sheetName val="Capex Breakup 2Q17 "/>
      <sheetName val="PurchasePPE1Q17"/>
      <sheetName val="DisposalPPE1Q17"/>
      <sheetName val="Other Investment1Q17"/>
      <sheetName val="Purchase Intang1Q17"/>
      <sheetName val="Capex Breakup 1Q17 "/>
      <sheetName val="PurchasePPE4Q16"/>
      <sheetName val="Other Investment4Q16"/>
      <sheetName val="DisposalPPE4Q16"/>
      <sheetName val="Purchase Intang4Q16"/>
      <sheetName val="Capex Breakup 4Q16 "/>
      <sheetName val="Disposal Intan4Q16"/>
      <sheetName val="PurchasePPE3Q16"/>
      <sheetName val="Other Investment3Q16"/>
      <sheetName val="Disposal Intan3Q16"/>
      <sheetName val="DisposalPPE3Q16"/>
      <sheetName val="Purchase Intang3Q16"/>
      <sheetName val="Capex Breakup 3Q16 "/>
      <sheetName val="CFF 2Q16"/>
      <sheetName val="CF3Q15_R"/>
      <sheetName val="DisposalPPE1Q16"/>
      <sheetName val="Purchase Intang2Q16"/>
      <sheetName val="DisposalPPE2Q16"/>
      <sheetName val="Capex Breakup 2Q16 "/>
      <sheetName val="Other Investment2Q16"/>
      <sheetName val="PurchasePPE2Q16"/>
      <sheetName val="Other Investment1Q16"/>
      <sheetName val="PurchasePPE1Q16"/>
      <sheetName val="Acquisition1Q16"/>
      <sheetName val="Purchase Intang1Q16"/>
      <sheetName val="maint capex-poly"/>
      <sheetName val="Financials"/>
      <sheetName val="Capex Breakup 1Q16 "/>
      <sheetName val="CFF 4Q15"/>
      <sheetName val="Capex Breakup 4Q15 "/>
      <sheetName val="DisposalPPE4Q15"/>
      <sheetName val="PurchasePPE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Investments (2)"/>
      <sheetName val="Reconcile"/>
      <sheetName val="STLoan"/>
      <sheetName val="CF 4Q17"/>
    </sheetNames>
    <sheetDataSet>
      <sheetData sheetId="0"/>
      <sheetData sheetId="1"/>
      <sheetData sheetId="2"/>
      <sheetData sheetId="3"/>
      <sheetData sheetId="4"/>
      <sheetData sheetId="5"/>
      <sheetData sheetId="6"/>
      <sheetData sheetId="7"/>
      <sheetData sheetId="8"/>
      <sheetData sheetId="9">
        <row r="357">
          <cell r="D357">
            <v>-123.60907619756777</v>
          </cell>
        </row>
      </sheetData>
      <sheetData sheetId="10"/>
      <sheetData sheetId="11">
        <row r="88">
          <cell r="AE88">
            <v>9.0207799346307862</v>
          </cell>
        </row>
      </sheetData>
      <sheetData sheetId="12">
        <row r="74">
          <cell r="E74">
            <v>31154.175915716085</v>
          </cell>
        </row>
        <row r="75">
          <cell r="E75">
            <v>-24447.269108532979</v>
          </cell>
        </row>
        <row r="76">
          <cell r="E76">
            <v>-1762.3790755117247</v>
          </cell>
        </row>
        <row r="77">
          <cell r="E77">
            <v>-3414.75620202153</v>
          </cell>
        </row>
        <row r="79">
          <cell r="E79">
            <v>-4336.1131699571943</v>
          </cell>
        </row>
        <row r="80">
          <cell r="E80">
            <v>-2247.3664181435138</v>
          </cell>
        </row>
        <row r="81">
          <cell r="E81">
            <v>-5233.1987249969698</v>
          </cell>
        </row>
        <row r="82">
          <cell r="B82">
            <v>19.176237347908021</v>
          </cell>
          <cell r="E82">
            <v>15504.14671434039</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CFF 1Q16"/>
      <sheetName val="NTFS"/>
      <sheetName val="CF2Q18"/>
      <sheetName val="CF3Q18"/>
      <sheetName val="CF1Q18"/>
      <sheetName val="Sheet8"/>
      <sheetName val="Summary New"/>
      <sheetName val="Summary HFM"/>
      <sheetName val="Other Investment3Q18"/>
      <sheetName val="MD&amp;A(3Q18)"/>
      <sheetName val="MD&amp;A(2Q18)"/>
      <sheetName val="Both Segments"/>
      <sheetName val="Acquisition3Q18"/>
      <sheetName val="Acquisition2Q18"/>
      <sheetName val="NWC on acq THB"/>
      <sheetName val="NWC on acq USD"/>
      <sheetName val="IVBRZ3Q18"/>
      <sheetName val="AvgolQ318"/>
      <sheetName val="SoreplaQ318"/>
      <sheetName val="EIPET3Q18"/>
      <sheetName val="DisposalPPE3Q18"/>
      <sheetName val="Purchase Intang3Q18"/>
      <sheetName val="PurchasePPE3Q18"/>
      <sheetName val="Disposal Intan3Q18"/>
      <sheetName val="Capex Breakup 3Q18"/>
      <sheetName val="CF1Q18New"/>
      <sheetName val="MD&amp;A(4Q17)"/>
      <sheetName val="MD&amp;A(3Q17)"/>
      <sheetName val="MD&amp;A(2Q17)"/>
      <sheetName val="MD&amp;A(1Q18)new"/>
      <sheetName val="MD&amp;A(1Q18)"/>
      <sheetName val="CF3Q17"/>
      <sheetName val="Acquisition4Q17"/>
      <sheetName val="CF4Q17"/>
      <sheetName val="Capex Breakup 2Q18"/>
      <sheetName val="Other Investment2Q18"/>
      <sheetName val="DisposalPPE2Q18"/>
      <sheetName val="PurchasePPE2Q18"/>
      <sheetName val="Disposal Intan2Q18"/>
      <sheetName val="Purchase Intang2Q18"/>
      <sheetName val="EIPETQ2"/>
      <sheetName val="IVBRZQ2"/>
      <sheetName val="GLLVQ4"/>
      <sheetName val="DuraFiberQ4"/>
      <sheetName val="DisposalPPE1Q18"/>
      <sheetName val="PurchasePPE1Q18"/>
      <sheetName val="Disposal Intan1Q18"/>
      <sheetName val="Other Investment1Q18"/>
      <sheetName val="Purchase Intang1Q18"/>
      <sheetName val="CF 1Q17"/>
      <sheetName val="CF 4Q16"/>
      <sheetName val="CFF 3Q16"/>
      <sheetName val="CF 2Q17"/>
      <sheetName val="MD&amp;A (1Q17) "/>
      <sheetName val="MD&amp;A (4Q16) "/>
      <sheetName val="Other Investment4Q17"/>
      <sheetName val="Other Investment3Q17"/>
      <sheetName val="DisposalPPE4Q17"/>
      <sheetName val="Disposal Intan4Q17"/>
      <sheetName val="WBRFQ4"/>
      <sheetName val="GlanzstoffQ4"/>
      <sheetName val="IVPPTAUTLQ4"/>
      <sheetName val="Acquisition3Q17"/>
      <sheetName val="GlanzstoffQ3"/>
      <sheetName val="GlanzstoffQ2"/>
      <sheetName val="PurchasePPE4Q17"/>
      <sheetName val="Purchase Intang4Q17"/>
      <sheetName val="MD&amp;A (3Q16) New"/>
      <sheetName val="Capex Breakup 1Q18"/>
      <sheetName val="Capex Breakup 4Q17"/>
      <sheetName val="Capex Breakup 3Q17"/>
      <sheetName val="Disposal Intan3Q17"/>
      <sheetName val="DisposalPPE3Q17"/>
      <sheetName val="PurchasePPE3Q17"/>
      <sheetName val="Purchase Intang3Q17"/>
      <sheetName val="PurchasePPE2Q17"/>
      <sheetName val="Other Investment2Q17"/>
      <sheetName val="DisposalPPE2Q17"/>
      <sheetName val="Acquisition2Q17"/>
      <sheetName val="Acquisition3Q16"/>
      <sheetName val="Acquisition1Q15"/>
      <sheetName val="Acquisition4Q16"/>
      <sheetName val="Acquisition2Q16"/>
      <sheetName val="Acquisition4Q15"/>
      <sheetName val="Acquisition3Q15"/>
      <sheetName val="Acquisition2Q15"/>
      <sheetName val="MD&amp;A (2Q16)"/>
      <sheetName val="MD&amp;A (3Q16) "/>
      <sheetName val="MD&amp;A"/>
      <sheetName val="DuraFiberQ3"/>
      <sheetName val="Disposal Intan2Q17"/>
      <sheetName val="Purchase Intang2Q17"/>
      <sheetName val="Capex Breakup 2Q17 "/>
      <sheetName val="PurchasePPE1Q17"/>
      <sheetName val="DisposalPPE1Q17"/>
      <sheetName val="Other Investment1Q17"/>
      <sheetName val="Purchase Intang1Q17"/>
      <sheetName val="Capex Breakup 1Q17 "/>
      <sheetName val="PurchasePPE4Q16"/>
      <sheetName val="Other Investment4Q16"/>
      <sheetName val="DisposalPPE4Q16"/>
      <sheetName val="Purchase Intang4Q16"/>
      <sheetName val="Capex Breakup 4Q16 "/>
      <sheetName val="Disposal Intan4Q16"/>
      <sheetName val="PurchasePPE3Q16"/>
      <sheetName val="Other Investment3Q16"/>
      <sheetName val="Disposal Intan3Q16"/>
      <sheetName val="DisposalPPE3Q16"/>
      <sheetName val="Purchase Intang3Q16"/>
      <sheetName val="Capex Breakup 3Q16 "/>
      <sheetName val="CFF 2Q16"/>
      <sheetName val="CF3Q15_R"/>
      <sheetName val="DisposalPPE1Q16"/>
      <sheetName val="Purchase Intang2Q16"/>
      <sheetName val="DisposalPPE2Q16"/>
      <sheetName val="Capex Breakup 2Q16 "/>
      <sheetName val="Other Investment2Q16"/>
      <sheetName val="PurchasePPE2Q16"/>
      <sheetName val="Other Investment1Q16"/>
      <sheetName val="PurchasePPE1Q16"/>
      <sheetName val="Acquisition1Q16"/>
      <sheetName val="Purchase Intang1Q16"/>
      <sheetName val="maint capex-poly"/>
      <sheetName val="Financials"/>
      <sheetName val="Capex Breakup 1Q16 "/>
      <sheetName val="CFF 4Q15"/>
      <sheetName val="Capex Breakup 4Q15 "/>
      <sheetName val="DisposalPPE4Q15"/>
      <sheetName val="PurchasePPE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Investments (2)"/>
      <sheetName val="Reconcile"/>
      <sheetName val="STLoan"/>
    </sheetNames>
    <sheetDataSet>
      <sheetData sheetId="0"/>
      <sheetData sheetId="1"/>
      <sheetData sheetId="2"/>
      <sheetData sheetId="3"/>
      <sheetData sheetId="4"/>
      <sheetData sheetId="5"/>
      <sheetData sheetId="6"/>
      <sheetData sheetId="7">
        <row r="180">
          <cell r="E180">
            <v>22.221428139484381</v>
          </cell>
        </row>
      </sheetData>
      <sheetData sheetId="8">
        <row r="402">
          <cell r="D402">
            <v>575626.25455187191</v>
          </cell>
        </row>
      </sheetData>
      <sheetData sheetId="9"/>
      <sheetData sheetId="10">
        <row r="74">
          <cell r="B74">
            <v>9883.271268541861</v>
          </cell>
          <cell r="E74">
            <v>33561.769262969283</v>
          </cell>
          <cell r="F74">
            <v>29443.798532073437</v>
          </cell>
        </row>
        <row r="75">
          <cell r="B75">
            <v>-16021.30824337083</v>
          </cell>
          <cell r="E75">
            <v>-42748.14846626803</v>
          </cell>
          <cell r="F75">
            <v>-22208.958524641177</v>
          </cell>
        </row>
        <row r="76">
          <cell r="B76">
            <v>-180.91666165002209</v>
          </cell>
          <cell r="E76">
            <v>-1645.6803002523461</v>
          </cell>
          <cell r="F76">
            <v>-1399.2047646387448</v>
          </cell>
        </row>
        <row r="77">
          <cell r="B77">
            <v>-734.52476412305305</v>
          </cell>
          <cell r="E77">
            <v>-3237.3632590095176</v>
          </cell>
          <cell r="F77">
            <v>-3342.9452413699992</v>
          </cell>
        </row>
        <row r="79">
          <cell r="B79">
            <v>-674.85662709335497</v>
          </cell>
          <cell r="E79">
            <v>-4121.2170055447878</v>
          </cell>
          <cell r="F79">
            <v>-4355.2147384238306</v>
          </cell>
        </row>
        <row r="80">
          <cell r="B80">
            <v>-804.45814221943556</v>
          </cell>
          <cell r="E80">
            <v>-2683.2538114477566</v>
          </cell>
          <cell r="F80">
            <v>-1793.1544585055617</v>
          </cell>
        </row>
        <row r="81">
          <cell r="B81">
            <v>-4175.2745655292001</v>
          </cell>
          <cell r="E81">
            <v>-8148.8624431913713</v>
          </cell>
          <cell r="F81">
            <v>-5464.3651708833986</v>
          </cell>
        </row>
        <row r="82">
          <cell r="B82">
            <v>2857.5008770953978</v>
          </cell>
          <cell r="E82">
            <v>15875.434868512917</v>
          </cell>
          <cell r="F82">
            <v>15484.970476992481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35">
          <cell r="D35">
            <v>-1400.9132339049488</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Summary HFM"/>
      <sheetName val="Summary New"/>
      <sheetName val="maint capex-poly"/>
      <sheetName val="Financials"/>
      <sheetName val="CFFS1Q"/>
      <sheetName val="MD&amp;A"/>
      <sheetName val="CFFS 1Q15"/>
      <sheetName val="CFFS 4Q14"/>
      <sheetName val="CFFS 3Q14"/>
      <sheetName val="CFFS 2Q14"/>
      <sheetName val="Detail_1Q14"/>
      <sheetName val="Purchase 1Q"/>
      <sheetName val="Both Segments"/>
      <sheetName val="Sheet4"/>
      <sheetName val="Sheet5"/>
      <sheetName val="Sheet2"/>
      <sheetName val="Acquisition4Q14"/>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Sheet6"/>
      <sheetName val="Sheet7"/>
      <sheetName val="Sheet6 (2)"/>
      <sheetName val="Sheet6 (3)"/>
      <sheetName val="Sheet1"/>
      <sheetName val="Purchase Intan"/>
      <sheetName val="Purchase PPE"/>
      <sheetName val="Disposal PPE"/>
      <sheetName val="Investments"/>
      <sheetName val="Investments (2)"/>
    </sheetNames>
    <sheetDataSet>
      <sheetData sheetId="0"/>
      <sheetData sheetId="1">
        <row r="357">
          <cell r="D357">
            <v>163.91351913255764</v>
          </cell>
        </row>
      </sheetData>
      <sheetData sheetId="2">
        <row r="106">
          <cell r="E106">
            <v>11.578735579932896</v>
          </cell>
        </row>
      </sheetData>
      <sheetData sheetId="3"/>
      <sheetData sheetId="4"/>
      <sheetData sheetId="5"/>
      <sheetData sheetId="6">
        <row r="4">
          <cell r="E4">
            <v>156.59173724427268</v>
          </cell>
        </row>
        <row r="5">
          <cell r="C5">
            <v>-14.420984203093237</v>
          </cell>
        </row>
        <row r="7">
          <cell r="C7">
            <v>4751.1794964919754</v>
          </cell>
        </row>
        <row r="10">
          <cell r="C10">
            <v>-1756.7654058881856</v>
          </cell>
        </row>
        <row r="11">
          <cell r="B11">
            <v>-378.00171748960531</v>
          </cell>
          <cell r="C11">
            <v>-286.34781533024716</v>
          </cell>
        </row>
        <row r="12">
          <cell r="B12">
            <v>-473.46302911220334</v>
          </cell>
          <cell r="C12">
            <v>-585.90263397488707</v>
          </cell>
        </row>
        <row r="13">
          <cell r="B13">
            <v>-54.273124997929933</v>
          </cell>
          <cell r="C13">
            <v>-0.93437512403702738</v>
          </cell>
        </row>
        <row r="14">
          <cell r="B14">
            <v>-264.65753424657538</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Summary HFM"/>
      <sheetName val="Summary New"/>
      <sheetName val="maint capex-poly"/>
      <sheetName val="Financials"/>
      <sheetName val="CFFS1Q"/>
      <sheetName val="MD&amp;A"/>
      <sheetName val="MD&amp;A R"/>
      <sheetName val="CF2Q15_R"/>
      <sheetName val="CFFS 2Q15"/>
      <sheetName val="CFFS 1Q15"/>
      <sheetName val="CFFS 4Q14"/>
      <sheetName val="CFFS 3Q14"/>
      <sheetName val="CFFS 2Q14"/>
      <sheetName val="Detail_1Q14"/>
      <sheetName val="Purchase 1Q"/>
      <sheetName val="Both Segments"/>
      <sheetName val="Capex Breakup"/>
      <sheetName val="Sheet4"/>
      <sheetName val="Sheet5"/>
      <sheetName val="Sheet2"/>
      <sheetName val="Purchase PPE"/>
      <sheetName val="Other Investment"/>
      <sheetName val="Acquisition2Q15"/>
      <sheetName val="Disposal PPE "/>
      <sheetName val="Purchase Intan"/>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Sheet6"/>
      <sheetName val="Sheet7"/>
      <sheetName val="Sheet6 (2)"/>
      <sheetName val="Sheet6 (3)"/>
      <sheetName val="Sheet1"/>
      <sheetName val="Investments"/>
      <sheetName val="Investments (2)"/>
      <sheetName val="Disposal Intan"/>
    </sheetNames>
    <sheetDataSet>
      <sheetData sheetId="0"/>
      <sheetData sheetId="1">
        <row r="357">
          <cell r="D357">
            <v>140.67969862829278</v>
          </cell>
        </row>
      </sheetData>
      <sheetData sheetId="2">
        <row r="112">
          <cell r="E112">
            <v>10.487996183290941</v>
          </cell>
        </row>
      </sheetData>
      <sheetData sheetId="3"/>
      <sheetData sheetId="4"/>
      <sheetData sheetId="5"/>
      <sheetData sheetId="6">
        <row r="4">
          <cell r="E4">
            <v>330.52903525572049</v>
          </cell>
        </row>
        <row r="5">
          <cell r="B5">
            <v>-251.02826794716401</v>
          </cell>
          <cell r="C5">
            <v>-160.42828324002988</v>
          </cell>
        </row>
        <row r="7">
          <cell r="C7">
            <v>12938.674585479144</v>
          </cell>
        </row>
        <row r="10">
          <cell r="C10">
            <v>-6862.5680255340112</v>
          </cell>
        </row>
        <row r="11">
          <cell r="B11">
            <v>-727.22900531562846</v>
          </cell>
          <cell r="C11">
            <v>-697.65174700930254</v>
          </cell>
        </row>
        <row r="12">
          <cell r="B12">
            <v>-1635.0843486006959</v>
          </cell>
          <cell r="C12">
            <v>-1757.1461467842228</v>
          </cell>
        </row>
        <row r="13">
          <cell r="B13">
            <v>-969.00186071606004</v>
          </cell>
          <cell r="C13">
            <v>-733.13726439675997</v>
          </cell>
        </row>
        <row r="14">
          <cell r="B14">
            <v>-520.68493150684935</v>
          </cell>
        </row>
      </sheetData>
      <sheetData sheetId="7">
        <row r="8">
          <cell r="B8">
            <v>-18678.652994684369</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Summary HFM"/>
      <sheetName val="Summary New"/>
      <sheetName val="CFF 1Q16"/>
      <sheetName val="MD&amp;A"/>
      <sheetName val="Both Segments"/>
      <sheetName val="Other Investment1Q16"/>
      <sheetName val="DisposalPPE1Q16"/>
      <sheetName val="PurchasePPE1Q16"/>
      <sheetName val="Purchase Intang1Q16"/>
      <sheetName val="maint capex-poly"/>
      <sheetName val="Financials"/>
      <sheetName val="Capex Breakup 1Q16 "/>
      <sheetName val="Acquisition1Q16"/>
      <sheetName val="CFF 4Q15"/>
      <sheetName val="Capex Breakup 4Q15 "/>
      <sheetName val="DisposalPPE4Q15"/>
      <sheetName val="PurchasePPE4Q15"/>
      <sheetName val="Acquisition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Acquisition3Q15"/>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Sheet6"/>
      <sheetName val="Sheet7"/>
      <sheetName val="Sheet6 (2)"/>
      <sheetName val="Sheet6 (3)"/>
      <sheetName val="Sheet1"/>
      <sheetName val="Investments"/>
      <sheetName val="Investments (2)"/>
      <sheetName val="Reconcile"/>
      <sheetName val="Sheet8"/>
    </sheetNames>
    <sheetDataSet>
      <sheetData sheetId="0"/>
      <sheetData sheetId="1">
        <row r="357">
          <cell r="D357">
            <v>19.038683307275914</v>
          </cell>
        </row>
      </sheetData>
      <sheetData sheetId="2">
        <row r="121">
          <cell r="E121">
            <v>17.779404136217636</v>
          </cell>
        </row>
      </sheetData>
      <sheetData sheetId="3"/>
      <sheetData sheetId="4">
        <row r="5">
          <cell r="E5">
            <v>-1.9858459313101386</v>
          </cell>
        </row>
        <row r="25">
          <cell r="D25">
            <v>9011.9463632585175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CFF 1Q16"/>
      <sheetName val="Summary HFM"/>
      <sheetName val="Summary New"/>
      <sheetName val="CFF 2Q16"/>
      <sheetName val="MD&amp;A (2Q16)"/>
      <sheetName val="Both Segments"/>
      <sheetName val="DisposalPPE1Q16"/>
      <sheetName val="MD&amp;A"/>
      <sheetName val="DisposalPPE2Q16"/>
      <sheetName val="Capex Breakup 2Q16 "/>
      <sheetName val="Other Investment2Q16"/>
      <sheetName val="Acquisition2Q16"/>
      <sheetName val="PurchasePPE2Q16"/>
      <sheetName val="Purchase Intang2Q16"/>
      <sheetName val="Other Investment1Q16"/>
      <sheetName val="PurchasePPE1Q16"/>
      <sheetName val="Acquisition1Q16"/>
      <sheetName val="Purchase Intang1Q16"/>
      <sheetName val="maint capex-poly"/>
      <sheetName val="Financials"/>
      <sheetName val="Capex Breakup 1Q16 "/>
      <sheetName val="CFF 4Q15"/>
      <sheetName val="Capex Breakup 4Q15 "/>
      <sheetName val="DisposalPPE4Q15"/>
      <sheetName val="PurchasePPE4Q15"/>
      <sheetName val="Acquisition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Acquisition3Q15"/>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Sheet6"/>
      <sheetName val="Sheet7"/>
      <sheetName val="Sheet6 (2)"/>
      <sheetName val="Sheet6 (3)"/>
      <sheetName val="Sheet1"/>
      <sheetName val="Investments"/>
      <sheetName val="Investments (2)"/>
      <sheetName val="Reconcile"/>
      <sheetName val="Sheet8"/>
    </sheetNames>
    <sheetDataSet>
      <sheetData sheetId="0"/>
      <sheetData sheetId="1"/>
      <sheetData sheetId="2">
        <row r="357">
          <cell r="D357">
            <v>-98.76296347771779</v>
          </cell>
        </row>
      </sheetData>
      <sheetData sheetId="3">
        <row r="133">
          <cell r="E133">
            <v>0</v>
          </cell>
        </row>
      </sheetData>
      <sheetData sheetId="4"/>
      <sheetData sheetId="5">
        <row r="23">
          <cell r="B23">
            <v>-497.29993859764818</v>
          </cell>
        </row>
        <row r="25">
          <cell r="B25">
            <v>3709.4802396298733</v>
          </cell>
          <cell r="I25">
            <v>6270.7956367414827</v>
          </cell>
        </row>
        <row r="30">
          <cell r="B30">
            <v>-9858.5115886355507</v>
          </cell>
          <cell r="I30">
            <v>-17991.718264616164</v>
          </cell>
        </row>
        <row r="31">
          <cell r="B31">
            <v>-611.17129147923163</v>
          </cell>
        </row>
        <row r="32">
          <cell r="B32">
            <v>-1437.3941748067132</v>
          </cell>
        </row>
        <row r="33">
          <cell r="B33">
            <v>-1494.8659742769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CFF 1Q16"/>
      <sheetName val="Summary HFM"/>
      <sheetName val="Summary New"/>
      <sheetName val="CFF 3Q16"/>
      <sheetName val="MD&amp;A (3Q16) New"/>
      <sheetName val="MD&amp;A (3Q16) "/>
      <sheetName val="MD&amp;A (2Q16)"/>
      <sheetName val="Both Segments"/>
      <sheetName val="NWC on acq USD"/>
      <sheetName val="NWC on acq THB"/>
      <sheetName val="PurchasePPE3Q16"/>
      <sheetName val="Other Investment3Q16"/>
      <sheetName val="Disposal Intan3Q16"/>
      <sheetName val="DisposalPPE3Q16"/>
      <sheetName val="Purchase Intang3Q16"/>
      <sheetName val="Acquisition3Q16"/>
      <sheetName val="Capex Breakup 3Q16 "/>
      <sheetName val="Acquisition2Q16"/>
      <sheetName val="CFF 2Q16"/>
      <sheetName val="MD&amp;A"/>
      <sheetName val="CF3Q15_R"/>
      <sheetName val="DisposalPPE1Q16"/>
      <sheetName val="Purchase Intang2Q16"/>
      <sheetName val="DisposalPPE2Q16"/>
      <sheetName val="Capex Breakup 2Q16 "/>
      <sheetName val="Other Investment2Q16"/>
      <sheetName val="PurchasePPE2Q16"/>
      <sheetName val="Other Investment1Q16"/>
      <sheetName val="PurchasePPE1Q16"/>
      <sheetName val="Acquisition1Q16"/>
      <sheetName val="Purchase Intang1Q16"/>
      <sheetName val="maint capex-poly"/>
      <sheetName val="Financials"/>
      <sheetName val="Capex Breakup 1Q16 "/>
      <sheetName val="CFF 4Q15"/>
      <sheetName val="Capex Breakup 4Q15 "/>
      <sheetName val="DisposalPPE4Q15"/>
      <sheetName val="PurchasePPE4Q15"/>
      <sheetName val="Acquisition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Acquisition3Q15"/>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Sheet6"/>
      <sheetName val="Sheet7"/>
      <sheetName val="Sheet6 (2)"/>
      <sheetName val="Sheet6 (3)"/>
      <sheetName val="Sheet1"/>
      <sheetName val="Investments"/>
      <sheetName val="Investments (2)"/>
      <sheetName val="Reconcile"/>
      <sheetName val="Sheet8"/>
    </sheetNames>
    <sheetDataSet>
      <sheetData sheetId="0"/>
      <sheetData sheetId="1"/>
      <sheetData sheetId="2">
        <row r="357">
          <cell r="D357">
            <v>-11.731689900298566</v>
          </cell>
        </row>
      </sheetData>
      <sheetData sheetId="3">
        <row r="142">
          <cell r="E142">
            <v>19.005862274251385</v>
          </cell>
        </row>
      </sheetData>
      <sheetData sheetId="4">
        <row r="45">
          <cell r="S45">
            <v>-365374.3147719744</v>
          </cell>
          <cell r="T45">
            <v>-633769.90956883039</v>
          </cell>
        </row>
      </sheetData>
      <sheetData sheetId="5">
        <row r="2">
          <cell r="I2">
            <v>35.255600000000001</v>
          </cell>
        </row>
        <row r="36">
          <cell r="B36">
            <v>-1708.9436457074003</v>
          </cell>
        </row>
      </sheetData>
      <sheetData sheetId="6">
        <row r="24">
          <cell r="B24">
            <v>-79.971589549935345</v>
          </cell>
        </row>
        <row r="26">
          <cell r="B26">
            <v>10426.411204406184</v>
          </cell>
          <cell r="D26">
            <v>2721.5540023357516</v>
          </cell>
        </row>
        <row r="31">
          <cell r="B31">
            <v>-3101.6366575140755</v>
          </cell>
        </row>
        <row r="32">
          <cell r="B32">
            <v>-662.33559032559333</v>
          </cell>
        </row>
        <row r="33">
          <cell r="B33">
            <v>-887.77675520896435</v>
          </cell>
          <cell r="D33">
            <v>-685.18522365633999</v>
          </cell>
        </row>
      </sheetData>
      <sheetData sheetId="7">
        <row r="30">
          <cell r="C30">
            <v>-17807.195801022426</v>
          </cell>
        </row>
      </sheetData>
      <sheetData sheetId="8"/>
      <sheetData sheetId="9">
        <row r="31">
          <cell r="E31">
            <v>-14.275384747896855</v>
          </cell>
        </row>
      </sheetData>
      <sheetData sheetId="10">
        <row r="31">
          <cell r="E31">
            <v>-494.30946505000003</v>
          </cell>
          <cell r="F31">
            <v>3917.1365836150007</v>
          </cell>
          <cell r="G31">
            <v>4497.0823289975997</v>
          </cell>
          <cell r="H31">
            <v>348.58005448904498</v>
          </cell>
          <cell r="I31">
            <v>0</v>
          </cell>
          <cell r="J31">
            <v>5414.962426666687</v>
          </cell>
          <cell r="K31">
            <v>14.299623337371051</v>
          </cell>
          <cell r="L31">
            <v>0</v>
          </cell>
          <cell r="M31">
            <v>0</v>
          </cell>
          <cell r="N31">
            <v>3840.8357991790895</v>
          </cell>
          <cell r="O31">
            <v>0</v>
          </cell>
          <cell r="P31">
            <v>0</v>
          </cell>
          <cell r="Q31">
            <v>0</v>
          </cell>
          <cell r="R31">
            <v>76.712000000000003</v>
          </cell>
          <cell r="S31">
            <v>0</v>
          </cell>
          <cell r="T31">
            <v>0</v>
          </cell>
          <cell r="U31">
            <v>65.837999999999994</v>
          </cell>
          <cell r="V31">
            <v>2225.04</v>
          </cell>
          <cell r="W31">
            <v>519.70067999999992</v>
          </cell>
          <cell r="X31">
            <v>1618.7170000000001</v>
          </cell>
          <cell r="Y31">
            <v>1015.9282499999999</v>
          </cell>
          <cell r="Z31">
            <v>0</v>
          </cell>
          <cell r="AA31">
            <v>7604.8249999999998</v>
          </cell>
          <cell r="AB31">
            <v>0</v>
          </cell>
          <cell r="AC31">
            <v>293.79399999999998</v>
          </cell>
          <cell r="AD31">
            <v>85.227000000000004</v>
          </cell>
          <cell r="AE31">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Summary HFM"/>
      <sheetName val="Summary New"/>
      <sheetName val="CFF 1Q16"/>
      <sheetName val="MD&amp;A"/>
      <sheetName val="Both Segments"/>
      <sheetName val="Other Investment1Q16"/>
      <sheetName val="DisposalPPE1Q16"/>
      <sheetName val="PurchasePPE1Q16"/>
      <sheetName val="Purchase Intang1Q16"/>
      <sheetName val="maint capex-poly"/>
      <sheetName val="Financials"/>
      <sheetName val="Capex Breakup 1Q16 "/>
      <sheetName val="Acquisition1Q16"/>
      <sheetName val="CFF 4Q15"/>
      <sheetName val="Capex Breakup 4Q15 "/>
      <sheetName val="DisposalPPE4Q15"/>
      <sheetName val="PurchasePPE4Q15"/>
      <sheetName val="Acquisition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Acquisition3Q15"/>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Sheet6"/>
      <sheetName val="Sheet7"/>
      <sheetName val="Sheet6 (2)"/>
      <sheetName val="Sheet6 (3)"/>
      <sheetName val="Sheet1"/>
      <sheetName val="Investments"/>
      <sheetName val="Investments (2)"/>
      <sheetName val="Reconcile"/>
      <sheetName val="Sheet8"/>
    </sheetNames>
    <sheetDataSet>
      <sheetData sheetId="0" refreshError="1"/>
      <sheetData sheetId="1" refreshError="1"/>
      <sheetData sheetId="2" refreshError="1"/>
      <sheetData sheetId="3" refreshError="1"/>
      <sheetData sheetId="4" refreshError="1">
        <row r="13">
          <cell r="E13">
            <v>-19.778516689280806</v>
          </cell>
        </row>
        <row r="23">
          <cell r="B23">
            <v>-70.789449913412511</v>
          </cell>
          <cell r="D23">
            <v>-24.563276843921713</v>
          </cell>
        </row>
        <row r="25">
          <cell r="B25">
            <v>4964.7705398755379</v>
          </cell>
        </row>
        <row r="30">
          <cell r="B30">
            <v>-17807.195801022426</v>
          </cell>
          <cell r="D30">
            <v>-3001.6816773954306</v>
          </cell>
        </row>
        <row r="31">
          <cell r="B31">
            <v>-633.78241924375004</v>
          </cell>
        </row>
        <row r="32">
          <cell r="B32">
            <v>-705.04478442279299</v>
          </cell>
        </row>
        <row r="33">
          <cell r="B33">
            <v>-264.65784217999999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ayback"/>
      <sheetName val="8 Qs"/>
      <sheetName val="bridge"/>
      <sheetName val="Summary"/>
      <sheetName val="By company"/>
      <sheetName val="EBITDA table (VJ)"/>
      <sheetName val="Cepsa Canada PPT"/>
      <sheetName val="EBITDA Bridge"/>
      <sheetName val="Financials"/>
      <sheetName val="Exch rates"/>
      <sheetName val="NP Reconciliation"/>
      <sheetName val="Conso_table"/>
      <sheetName val="Conso THB"/>
      <sheetName val="Conso USD"/>
      <sheetName val="Restated"/>
      <sheetName val="PETwPck"/>
      <sheetName val="Poly+Wool"/>
      <sheetName val="Exchgrate"/>
      <sheetName val="Customers sales profile"/>
      <sheetName val="Feedstock"/>
      <sheetName val="By Company Data"/>
      <sheetName val="HVA_Comm"/>
      <sheetName val="By Segment"/>
      <sheetName val="By Region"/>
      <sheetName val="Workings"/>
      <sheetName val="loans to"/>
      <sheetName val="MDA table"/>
      <sheetName val="EBITDA table"/>
      <sheetName val="Sheet1"/>
    </sheetNames>
    <sheetDataSet>
      <sheetData sheetId="0"/>
      <sheetData sheetId="1"/>
      <sheetData sheetId="2"/>
      <sheetData sheetId="3"/>
      <sheetData sheetId="4">
        <row r="1178">
          <cell r="AI1178">
            <v>-30.289950914117277</v>
          </cell>
        </row>
      </sheetData>
      <sheetData sheetId="5"/>
      <sheetData sheetId="6"/>
      <sheetData sheetId="7"/>
      <sheetData sheetId="8"/>
      <sheetData sheetId="9"/>
      <sheetData sheetId="10"/>
      <sheetData sheetId="11">
        <row r="33">
          <cell r="Q33">
            <v>6818887</v>
          </cell>
          <cell r="CD33">
            <v>6281143.055737704</v>
          </cell>
          <cell r="DT33">
            <v>5098742.3</v>
          </cell>
          <cell r="DU33">
            <v>3260861.0958904112</v>
          </cell>
        </row>
      </sheetData>
      <sheetData sheetId="12"/>
      <sheetData sheetId="13">
        <row r="20">
          <cell r="BA20">
            <v>216.13967253192652</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CFF 1Q16"/>
      <sheetName val="Summary HFM"/>
      <sheetName val="CF 1Q17"/>
      <sheetName val="CF 4Q16"/>
      <sheetName val="Both Segments"/>
      <sheetName val="Summary New"/>
      <sheetName val="MD&amp;A (1Q17) "/>
      <sheetName val="PurchasePPE1Q17"/>
      <sheetName val="Other Investment1Q17"/>
      <sheetName val="DisposalPPE1Q17"/>
      <sheetName val="Purchase Intang1Q17"/>
      <sheetName val="Capex Breakup 1Q17 "/>
      <sheetName val="MD&amp;A (4Q16) "/>
      <sheetName val="NWC on acq THB"/>
      <sheetName val="NWC on acq USD"/>
      <sheetName val="MD&amp;A (3Q16) New"/>
      <sheetName val="MD&amp;A (2Q16)"/>
      <sheetName val="MD&amp;A (3Q16) "/>
      <sheetName val="MD&amp;A"/>
      <sheetName val="CFF 3Q16"/>
      <sheetName val="PurchasePPE4Q16"/>
      <sheetName val="Other Investment4Q16"/>
      <sheetName val="DisposalPPE4Q16"/>
      <sheetName val="Acquisition4Q16"/>
      <sheetName val="Purchase Intang4Q16"/>
      <sheetName val="Capex Breakup 4Q16 "/>
      <sheetName val="Disposal Intan4Q16"/>
      <sheetName val="PurchasePPE3Q16"/>
      <sheetName val="Other Investment3Q16"/>
      <sheetName val="Disposal Intan3Q16"/>
      <sheetName val="DisposalPPE3Q16"/>
      <sheetName val="Purchase Intang3Q16"/>
      <sheetName val="Acquisition3Q16"/>
      <sheetName val="Capex Breakup 3Q16 "/>
      <sheetName val="Acquisition2Q16"/>
      <sheetName val="CFF 2Q16"/>
      <sheetName val="CF3Q15_R"/>
      <sheetName val="DisposalPPE1Q16"/>
      <sheetName val="Purchase Intang2Q16"/>
      <sheetName val="DisposalPPE2Q16"/>
      <sheetName val="Capex Breakup 2Q16 "/>
      <sheetName val="Other Investment2Q16"/>
      <sheetName val="PurchasePPE2Q16"/>
      <sheetName val="Other Investment1Q16"/>
      <sheetName val="PurchasePPE1Q16"/>
      <sheetName val="Acquisition1Q16"/>
      <sheetName val="Purchase Intang1Q16"/>
      <sheetName val="maint capex-poly"/>
      <sheetName val="Financials"/>
      <sheetName val="Capex Breakup 1Q16 "/>
      <sheetName val="CFF 4Q15"/>
      <sheetName val="Capex Breakup 4Q15 "/>
      <sheetName val="DisposalPPE4Q15"/>
      <sheetName val="PurchasePPE4Q15"/>
      <sheetName val="Acquisition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Acquisition3Q15"/>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Investments (2)"/>
      <sheetName val="Reconcile"/>
      <sheetName val="STLoan"/>
    </sheetNames>
    <sheetDataSet>
      <sheetData sheetId="0"/>
      <sheetData sheetId="1"/>
      <sheetData sheetId="2">
        <row r="357">
          <cell r="D357">
            <v>-31.335134675302744</v>
          </cell>
        </row>
      </sheetData>
      <sheetData sheetId="3"/>
      <sheetData sheetId="4"/>
      <sheetData sheetId="5"/>
      <sheetData sheetId="6">
        <row r="142">
          <cell r="E142">
            <v>24.008525405464411</v>
          </cell>
        </row>
      </sheetData>
      <sheetData sheetId="7">
        <row r="29">
          <cell r="B29">
            <v>-4079.0435821705491</v>
          </cell>
        </row>
        <row r="74">
          <cell r="B74">
            <v>7922.298846792688</v>
          </cell>
        </row>
        <row r="75">
          <cell r="B75">
            <v>-4079.0435821705491</v>
          </cell>
        </row>
        <row r="76">
          <cell r="B76">
            <v>0</v>
          </cell>
        </row>
        <row r="77">
          <cell r="B77">
            <v>-842.84329288423362</v>
          </cell>
        </row>
        <row r="79">
          <cell r="B79">
            <v>-746.64191273080041</v>
          </cell>
        </row>
        <row r="80">
          <cell r="B80">
            <v>-195.26890953189684</v>
          </cell>
        </row>
        <row r="81">
          <cell r="B81">
            <v>-264.65820622841005</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CFF 1Q16"/>
      <sheetName val="CF 2Q17"/>
      <sheetName val="CF 1Q17"/>
      <sheetName val="CF 4Q16"/>
      <sheetName val="Summary New"/>
      <sheetName val="Summary HFM"/>
      <sheetName val="Other Investment2Q17"/>
      <sheetName val="DisposalPPE2Q17"/>
      <sheetName val="MD&amp;A (2Q17) "/>
      <sheetName val="MD&amp;A (1Q17) "/>
      <sheetName val="MD&amp;A (4Q16) "/>
      <sheetName val="MD&amp;A (3Q16) New"/>
      <sheetName val="Acquisition1Q15"/>
      <sheetName val="Acquisition2Q17"/>
      <sheetName val="Acquisition3Q16"/>
      <sheetName val="Acquisition4Q16"/>
      <sheetName val="Acquisition2Q16"/>
      <sheetName val="Acquisition4Q15"/>
      <sheetName val="Acquisition3Q15"/>
      <sheetName val="Acquisition2Q15"/>
      <sheetName val="Both Segments"/>
      <sheetName val="NWC on acq THB"/>
      <sheetName val="NWC on acq USD"/>
      <sheetName val="MD&amp;A (2Q16)"/>
      <sheetName val="MD&amp;A"/>
      <sheetName val="Glanzstoff"/>
      <sheetName val="PurchasePPE2Q17"/>
      <sheetName val="Disposal Intan2Q17"/>
      <sheetName val="Purchase Intang2Q17"/>
      <sheetName val="Capex Breakup 2Q17 "/>
      <sheetName val="PurchasePPE1Q17"/>
      <sheetName val="DisposalPPE1Q17"/>
      <sheetName val="Other Investment1Q17"/>
      <sheetName val="Purchase Intang1Q17"/>
      <sheetName val="Capex Breakup 1Q17 "/>
      <sheetName val="MD&amp;A (3Q16) "/>
      <sheetName val="CFF 3Q16"/>
      <sheetName val="PurchasePPE4Q16"/>
      <sheetName val="Other Investment4Q16"/>
      <sheetName val="DisposalPPE4Q16"/>
      <sheetName val="Purchase Intang4Q16"/>
      <sheetName val="Capex Breakup 4Q16 "/>
      <sheetName val="Disposal Intan4Q16"/>
      <sheetName val="PurchasePPE3Q16"/>
      <sheetName val="Other Investment3Q16"/>
      <sheetName val="Disposal Intan3Q16"/>
      <sheetName val="DisposalPPE3Q16"/>
      <sheetName val="Purchase Intang3Q16"/>
      <sheetName val="Capex Breakup 3Q16 "/>
      <sheetName val="CFF 2Q16"/>
      <sheetName val="CF3Q15_R"/>
      <sheetName val="DisposalPPE1Q16"/>
      <sheetName val="Purchase Intang2Q16"/>
      <sheetName val="DisposalPPE2Q16"/>
      <sheetName val="Capex Breakup 2Q16 "/>
      <sheetName val="Other Investment2Q16"/>
      <sheetName val="PurchasePPE2Q16"/>
      <sheetName val="Other Investment1Q16"/>
      <sheetName val="PurchasePPE1Q16"/>
      <sheetName val="Acquisition1Q16"/>
      <sheetName val="Purchase Intang1Q16"/>
      <sheetName val="maint capex-poly"/>
      <sheetName val="Financials"/>
      <sheetName val="Capex Breakup 1Q16 "/>
      <sheetName val="CFF 4Q15"/>
      <sheetName val="Capex Breakup 4Q15 "/>
      <sheetName val="DisposalPPE4Q15"/>
      <sheetName val="PurchasePPE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Investments (2)"/>
      <sheetName val="Reconcile"/>
      <sheetName val="STLoan"/>
      <sheetName val="Sheet1"/>
    </sheetNames>
    <sheetDataSet>
      <sheetData sheetId="0"/>
      <sheetData sheetId="1"/>
      <sheetData sheetId="2">
        <row r="45">
          <cell r="D45">
            <v>-745665</v>
          </cell>
        </row>
      </sheetData>
      <sheetData sheetId="3">
        <row r="45">
          <cell r="E45">
            <v>-195269</v>
          </cell>
        </row>
      </sheetData>
      <sheetData sheetId="4"/>
      <sheetData sheetId="5">
        <row r="144">
          <cell r="E144">
            <v>22.033993434196674</v>
          </cell>
        </row>
      </sheetData>
      <sheetData sheetId="6">
        <row r="357">
          <cell r="D357">
            <v>10.206245226190534</v>
          </cell>
        </row>
      </sheetData>
      <sheetData sheetId="7"/>
      <sheetData sheetId="8"/>
      <sheetData sheetId="9">
        <row r="74">
          <cell r="B74">
            <v>8853.0704911377034</v>
          </cell>
        </row>
        <row r="75">
          <cell r="B75">
            <v>-10346.375907517868</v>
          </cell>
        </row>
        <row r="76">
          <cell r="B76">
            <v>-1013.4325156803286</v>
          </cell>
        </row>
        <row r="77">
          <cell r="B77">
            <v>-754.9656341566407</v>
          </cell>
        </row>
        <row r="79">
          <cell r="B79">
            <v>-1465.2380991933705</v>
          </cell>
        </row>
        <row r="80">
          <cell r="B80">
            <v>-615.42427960139798</v>
          </cell>
        </row>
        <row r="81">
          <cell r="B81">
            <v>-2051.6007083867798</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CFF 1Q16"/>
      <sheetName val="CF 1Q17"/>
      <sheetName val="CF 4Q16"/>
      <sheetName val="CF3Q17"/>
      <sheetName val="CFF 3Q16"/>
      <sheetName val="CF 2Q17"/>
      <sheetName val="Summary New"/>
      <sheetName val="Summary HFM"/>
      <sheetName val="Both Segments"/>
      <sheetName val="MD&amp;A (3Q17)  "/>
      <sheetName val="MD&amp;A (2Q17) "/>
      <sheetName val="Capex Breakup 3Q17"/>
      <sheetName val="NWC on acq THB"/>
      <sheetName val="NWC on acq USD"/>
      <sheetName val="Disposal Intan3Q17"/>
      <sheetName val="DisposalPPE3Q17"/>
      <sheetName val="Other Investment3Q17"/>
      <sheetName val="Purchase Intang3Q17"/>
      <sheetName val="PurchasePPE3Q17"/>
      <sheetName val="PurchasePPE2Q17"/>
      <sheetName val="Other Investment2Q17"/>
      <sheetName val="DisposalPPE2Q17"/>
      <sheetName val="MD&amp;A (3Q16) New"/>
      <sheetName val="MD&amp;A (4Q16) "/>
      <sheetName val="MD&amp;A (1Q17) "/>
      <sheetName val="Acquisition3Q17"/>
      <sheetName val="Acquisition2Q17"/>
      <sheetName val="Acquisition3Q16"/>
      <sheetName val="Acquisition1Q15"/>
      <sheetName val="Acquisition4Q16"/>
      <sheetName val="Acquisition2Q16"/>
      <sheetName val="Acquisition4Q15"/>
      <sheetName val="Acquisition3Q15"/>
      <sheetName val="Acquisition2Q15"/>
      <sheetName val="MD&amp;A (2Q16)"/>
      <sheetName val="MD&amp;A"/>
      <sheetName val="GlanzstoffQ2"/>
      <sheetName val="GlanzstoffQ3"/>
      <sheetName val="DuraFiberQ3"/>
      <sheetName val="Disposal Intan2Q17"/>
      <sheetName val="Purchase Intang2Q17"/>
      <sheetName val="Capex Breakup 2Q17 "/>
      <sheetName val="PurchasePPE1Q17"/>
      <sheetName val="DisposalPPE1Q17"/>
      <sheetName val="Other Investment1Q17"/>
      <sheetName val="Purchase Intang1Q17"/>
      <sheetName val="Capex Breakup 1Q17 "/>
      <sheetName val="MD&amp;A (3Q16) "/>
      <sheetName val="PurchasePPE4Q16"/>
      <sheetName val="Other Investment4Q16"/>
      <sheetName val="DisposalPPE4Q16"/>
      <sheetName val="Purchase Intang4Q16"/>
      <sheetName val="Capex Breakup 4Q16 "/>
      <sheetName val="Disposal Intan4Q16"/>
      <sheetName val="PurchasePPE3Q16"/>
      <sheetName val="Other Investment3Q16"/>
      <sheetName val="Disposal Intan3Q16"/>
      <sheetName val="DisposalPPE3Q16"/>
      <sheetName val="Purchase Intang3Q16"/>
      <sheetName val="Capex Breakup 3Q16 "/>
      <sheetName val="CFF 2Q16"/>
      <sheetName val="CF3Q15_R"/>
      <sheetName val="DisposalPPE1Q16"/>
      <sheetName val="Purchase Intang2Q16"/>
      <sheetName val="DisposalPPE2Q16"/>
      <sheetName val="Capex Breakup 2Q16 "/>
      <sheetName val="Other Investment2Q16"/>
      <sheetName val="PurchasePPE2Q16"/>
      <sheetName val="Other Investment1Q16"/>
      <sheetName val="PurchasePPE1Q16"/>
      <sheetName val="Acquisition1Q16"/>
      <sheetName val="Purchase Intang1Q16"/>
      <sheetName val="maint capex-poly"/>
      <sheetName val="Financials"/>
      <sheetName val="Capex Breakup 1Q16 "/>
      <sheetName val="CFF 4Q15"/>
      <sheetName val="Capex Breakup 4Q15 "/>
      <sheetName val="DisposalPPE4Q15"/>
      <sheetName val="PurchasePPE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Investments (2)"/>
      <sheetName val="Reconcile"/>
      <sheetName val="STLoan"/>
    </sheetNames>
    <sheetDataSet>
      <sheetData sheetId="0"/>
      <sheetData sheetId="1"/>
      <sheetData sheetId="2"/>
      <sheetData sheetId="3"/>
      <sheetData sheetId="4"/>
      <sheetData sheetId="5"/>
      <sheetData sheetId="6"/>
      <sheetData sheetId="7">
        <row r="83">
          <cell r="E83">
            <v>0.40907771440837243</v>
          </cell>
        </row>
      </sheetData>
      <sheetData sheetId="8">
        <row r="357">
          <cell r="D357">
            <v>-101.02746136680689</v>
          </cell>
        </row>
        <row r="389">
          <cell r="F389">
            <v>1289590.1252202988</v>
          </cell>
          <cell r="G389">
            <v>0</v>
          </cell>
          <cell r="I389">
            <v>0</v>
          </cell>
          <cell r="J389">
            <v>0</v>
          </cell>
          <cell r="K389">
            <v>535314.46576118469</v>
          </cell>
          <cell r="L389">
            <v>533872.49353122711</v>
          </cell>
          <cell r="M389">
            <v>533879.99815177917</v>
          </cell>
          <cell r="N389">
            <v>0</v>
          </cell>
          <cell r="O389">
            <v>0</v>
          </cell>
          <cell r="S389">
            <v>0</v>
          </cell>
          <cell r="W389">
            <v>0</v>
          </cell>
        </row>
      </sheetData>
      <sheetData sheetId="9"/>
      <sheetData sheetId="10">
        <row r="74">
          <cell r="B74">
            <v>5974.5540941358277</v>
          </cell>
        </row>
        <row r="75">
          <cell r="B75">
            <v>-4239.7058018406515</v>
          </cell>
        </row>
        <row r="76">
          <cell r="B76">
            <v>-394.47622754841609</v>
          </cell>
        </row>
        <row r="77">
          <cell r="B77">
            <v>-837.60403656976848</v>
          </cell>
        </row>
        <row r="79">
          <cell r="B79">
            <v>-742.42149259471034</v>
          </cell>
        </row>
        <row r="80">
          <cell r="B80">
            <v>-367.68706568759967</v>
          </cell>
        </row>
        <row r="81">
          <cell r="B81">
            <v>-2580.6919882833095</v>
          </cell>
        </row>
        <row r="82">
          <cell r="B82">
            <v>15482.966498967029</v>
          </cell>
          <cell r="C82">
            <v>0.71438790023040777</v>
          </cell>
          <cell r="D82">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CFF 1Q16"/>
      <sheetName val="NTFS"/>
      <sheetName val="CF2Q18"/>
      <sheetName val="CF1Q18"/>
      <sheetName val="Summary New"/>
      <sheetName val="Summary HFM"/>
      <sheetName val="CF1Q18New"/>
      <sheetName val="Both Segments"/>
      <sheetName val="MD&amp;A(2Q18)"/>
      <sheetName val="MD&amp;A(4Q17)"/>
      <sheetName val="MD&amp;A(1Q18)new"/>
      <sheetName val="MD&amp;A(1Q18)"/>
      <sheetName val="Acquisition2Q18"/>
      <sheetName val="CF3Q17"/>
      <sheetName val="Acquisition4Q17"/>
      <sheetName val="CF4Q17"/>
      <sheetName val="Capex Breakup 2Q18"/>
      <sheetName val="Other Investment2Q18"/>
      <sheetName val="DisposalPPE2Q18"/>
      <sheetName val="PurchasePPE2Q18"/>
      <sheetName val="Disposal Intan2Q18"/>
      <sheetName val="Purchase Intang2Q18"/>
      <sheetName val="MD&amp;A (2Q17) "/>
      <sheetName val="NWC on acq THB"/>
      <sheetName val="NWC on acq USD"/>
      <sheetName val="EIPETQ2"/>
      <sheetName val="IVBRZQ2"/>
      <sheetName val="GLLVQ4"/>
      <sheetName val="DuraFiberQ4"/>
      <sheetName val="MD&amp;A (3Q17)  "/>
      <sheetName val="DisposalPPE1Q18"/>
      <sheetName val="PurchasePPE1Q18"/>
      <sheetName val="Disposal Intan1Q18"/>
      <sheetName val="Other Investment1Q18"/>
      <sheetName val="Purchase Intang1Q18"/>
      <sheetName val="CF 1Q17"/>
      <sheetName val="CF 4Q16"/>
      <sheetName val="CFF 3Q16"/>
      <sheetName val="CF 2Q17"/>
      <sheetName val="MD&amp;A (1Q17) "/>
      <sheetName val="MD&amp;A (4Q16) "/>
      <sheetName val="Other Investment4Q17"/>
      <sheetName val="Other Investment3Q17"/>
      <sheetName val="DisposalPPE4Q17"/>
      <sheetName val="Disposal Intan4Q17"/>
      <sheetName val="WBRFQ4"/>
      <sheetName val="GlanzstoffQ4"/>
      <sheetName val="IVPPTAUTLQ4"/>
      <sheetName val="Acquisition3Q17"/>
      <sheetName val="GlanzstoffQ3"/>
      <sheetName val="GlanzstoffQ2"/>
      <sheetName val="PurchasePPE4Q17"/>
      <sheetName val="Purchase Intang4Q17"/>
      <sheetName val="MD&amp;A (3Q16) New"/>
      <sheetName val="Capex Breakup 1Q18"/>
      <sheetName val="Capex Breakup 4Q17"/>
      <sheetName val="Capex Breakup 3Q17"/>
      <sheetName val="Disposal Intan3Q17"/>
      <sheetName val="DisposalPPE3Q17"/>
      <sheetName val="PurchasePPE3Q17"/>
      <sheetName val="Purchase Intang3Q17"/>
      <sheetName val="PurchasePPE2Q17"/>
      <sheetName val="Other Investment2Q17"/>
      <sheetName val="DisposalPPE2Q17"/>
      <sheetName val="Acquisition2Q17"/>
      <sheetName val="Acquisition3Q16"/>
      <sheetName val="Acquisition1Q15"/>
      <sheetName val="Acquisition4Q16"/>
      <sheetName val="Acquisition2Q16"/>
      <sheetName val="Acquisition4Q15"/>
      <sheetName val="Acquisition3Q15"/>
      <sheetName val="Acquisition2Q15"/>
      <sheetName val="MD&amp;A (2Q16)"/>
      <sheetName val="MD&amp;A (3Q16) "/>
      <sheetName val="MD&amp;A"/>
      <sheetName val="DuraFiberQ3"/>
      <sheetName val="Disposal Intan2Q17"/>
      <sheetName val="Purchase Intang2Q17"/>
      <sheetName val="Capex Breakup 2Q17 "/>
      <sheetName val="PurchasePPE1Q17"/>
      <sheetName val="DisposalPPE1Q17"/>
      <sheetName val="Other Investment1Q17"/>
      <sheetName val="Purchase Intang1Q17"/>
      <sheetName val="Capex Breakup 1Q17 "/>
      <sheetName val="PurchasePPE4Q16"/>
      <sheetName val="Other Investment4Q16"/>
      <sheetName val="DisposalPPE4Q16"/>
      <sheetName val="Purchase Intang4Q16"/>
      <sheetName val="Capex Breakup 4Q16 "/>
      <sheetName val="Disposal Intan4Q16"/>
      <sheetName val="PurchasePPE3Q16"/>
      <sheetName val="Other Investment3Q16"/>
      <sheetName val="Disposal Intan3Q16"/>
      <sheetName val="DisposalPPE3Q16"/>
      <sheetName val="Purchase Intang3Q16"/>
      <sheetName val="Capex Breakup 3Q16 "/>
      <sheetName val="CFF 2Q16"/>
      <sheetName val="CF3Q15_R"/>
      <sheetName val="DisposalPPE1Q16"/>
      <sheetName val="Purchase Intang2Q16"/>
      <sheetName val="DisposalPPE2Q16"/>
      <sheetName val="Capex Breakup 2Q16 "/>
      <sheetName val="Other Investment2Q16"/>
      <sheetName val="PurchasePPE2Q16"/>
      <sheetName val="Other Investment1Q16"/>
      <sheetName val="PurchasePPE1Q16"/>
      <sheetName val="Acquisition1Q16"/>
      <sheetName val="Purchase Intang1Q16"/>
      <sheetName val="maint capex-poly"/>
      <sheetName val="Financials"/>
      <sheetName val="Capex Breakup 1Q16 "/>
      <sheetName val="CFF 4Q15"/>
      <sheetName val="Capex Breakup 4Q15 "/>
      <sheetName val="DisposalPPE4Q15"/>
      <sheetName val="PurchasePPE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Investments (2)"/>
      <sheetName val="Reconcile"/>
      <sheetName val="STLoan"/>
    </sheetNames>
    <sheetDataSet>
      <sheetData sheetId="0"/>
      <sheetData sheetId="1"/>
      <sheetData sheetId="2"/>
      <sheetData sheetId="3"/>
      <sheetData sheetId="4"/>
      <sheetData sheetId="5">
        <row r="170">
          <cell r="E170">
            <v>25.666972788491005</v>
          </cell>
        </row>
      </sheetData>
      <sheetData sheetId="6">
        <row r="402">
          <cell r="D402">
            <v>419781.53689646593</v>
          </cell>
        </row>
      </sheetData>
      <sheetData sheetId="7"/>
      <sheetData sheetId="8"/>
      <sheetData sheetId="9">
        <row r="74">
          <cell r="B74">
            <v>7664.6312002293107</v>
          </cell>
          <cell r="C74">
            <v>7843.2033656966896</v>
          </cell>
        </row>
        <row r="75">
          <cell r="B75">
            <v>-17196.320141626613</v>
          </cell>
          <cell r="C75">
            <v>-3748.3762666324274</v>
          </cell>
        </row>
        <row r="76">
          <cell r="B76">
            <v>-1110.2933039535908</v>
          </cell>
          <cell r="C76">
            <v>0</v>
          </cell>
        </row>
        <row r="77">
          <cell r="B77">
            <v>-819.14427284018495</v>
          </cell>
          <cell r="C77">
            <v>-704.35098363539271</v>
          </cell>
        </row>
        <row r="79">
          <cell r="B79">
            <v>-1349.224640635859</v>
          </cell>
          <cell r="C79">
            <v>-715.32407237726125</v>
          </cell>
        </row>
        <row r="80">
          <cell r="B80">
            <v>-556.60999935975804</v>
          </cell>
          <cell r="C80">
            <v>-253.19950654594393</v>
          </cell>
        </row>
        <row r="81">
          <cell r="B81">
            <v>-3372.6820005402897</v>
          </cell>
          <cell r="C81">
            <v>-264.65805502341004</v>
          </cell>
        </row>
        <row r="82">
          <cell r="B82">
            <v>5850.4697464256078</v>
          </cell>
          <cell r="C82">
            <v>7148.2880076440033</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Summary HFM"/>
      <sheetName val="Summary New"/>
      <sheetName val="maint capex-poly"/>
      <sheetName val="Financials"/>
      <sheetName val="Reconcile"/>
      <sheetName val="MD&amp;A"/>
      <sheetName val="CFF 3Q15"/>
      <sheetName val="CFFS 2Q15"/>
      <sheetName val="CFFS 1Q15"/>
      <sheetName val="CFFS 4Q14"/>
      <sheetName val="CFFS 3Q14"/>
      <sheetName val="CFFS 2Q14"/>
      <sheetName val="Detail_1Q14"/>
      <sheetName val="Purchase 1Q"/>
      <sheetName val="CFFS1Q"/>
      <sheetName val="Capex Breakup"/>
      <sheetName val="Both Segments"/>
      <sheetName val="Capex Breakup 3Q15"/>
      <sheetName val="Sheet4"/>
      <sheetName val="Sheet5"/>
      <sheetName val="Sheet2"/>
      <sheetName val="Purchase PPE"/>
      <sheetName val="Disposal Intan"/>
      <sheetName val="Other Investment"/>
      <sheetName val="Disposal PPE "/>
      <sheetName val="Purchase Intan"/>
      <sheetName val="Acquisition3Q15"/>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Sheet6"/>
      <sheetName val="Sheet7"/>
      <sheetName val="Sheet6 (2)"/>
      <sheetName val="Sheet6 (3)"/>
      <sheetName val="Sheet1"/>
      <sheetName val="Investments"/>
      <sheetName val="Investments (2)"/>
    </sheetNames>
    <sheetDataSet>
      <sheetData sheetId="0"/>
      <sheetData sheetId="1">
        <row r="357">
          <cell r="D357">
            <v>88.12617877583817</v>
          </cell>
        </row>
      </sheetData>
      <sheetData sheetId="2">
        <row r="115">
          <cell r="E115">
            <v>14.839540599144454</v>
          </cell>
        </row>
      </sheetData>
      <sheetData sheetId="3"/>
      <sheetData sheetId="4"/>
      <sheetData sheetId="5"/>
      <sheetData sheetId="6">
        <row r="5">
          <cell r="B5">
            <v>-365.37431477197441</v>
          </cell>
        </row>
        <row r="10">
          <cell r="C10">
            <v>-9421.3227131927324</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Qs"/>
      <sheetName val="Summary"/>
      <sheetName val="Technon PET consumption_11Oct16"/>
      <sheetName val="Proforma sales"/>
      <sheetName val="By company"/>
      <sheetName val="PTA Asia"/>
      <sheetName val="PTA Asia (Ratio of NCE) "/>
      <sheetName val="EBITDA bridge"/>
      <sheetName val="Financials"/>
      <sheetName val="HVA INfo"/>
      <sheetName val="BS and NWC"/>
      <sheetName val="NCI"/>
      <sheetName val="MDA table"/>
      <sheetName val="Sheet2"/>
      <sheetName val="Analysis of Core EPS"/>
      <sheetName val="Analysis"/>
      <sheetName val="EBITDA table (VJ)"/>
      <sheetName val="Sheet1"/>
      <sheetName val="Exch rates"/>
      <sheetName val="Conso_table"/>
      <sheetName val="Conso THB"/>
      <sheetName val="Restated"/>
      <sheetName val="Conso USD (2)"/>
      <sheetName val="Conso USD"/>
      <sheetName val="Restate 2015"/>
      <sheetName val="PETwPck"/>
      <sheetName val="Poly+Wool"/>
      <sheetName val="Exchgrate"/>
      <sheetName val="Customers sales profile"/>
      <sheetName val="Feedstock"/>
      <sheetName val="loans to"/>
    </sheetNames>
    <sheetDataSet>
      <sheetData sheetId="0"/>
      <sheetData sheetId="1"/>
      <sheetData sheetId="2"/>
      <sheetData sheetId="3"/>
      <sheetData sheetId="4">
        <row r="2">
          <cell r="R2">
            <v>31.701000000000001</v>
          </cell>
        </row>
        <row r="175">
          <cell r="AR175">
            <v>10178894.686942214</v>
          </cell>
        </row>
        <row r="345">
          <cell r="AR345">
            <v>8728926.6655100435</v>
          </cell>
        </row>
        <row r="1429">
          <cell r="R1429">
            <v>1178.6617363873224</v>
          </cell>
          <cell r="S1429">
            <v>226.96384124495512</v>
          </cell>
          <cell r="X1429">
            <v>68.794145293529354</v>
          </cell>
          <cell r="Y1429">
            <v>383.97096976161566</v>
          </cell>
          <cell r="Z1429">
            <v>-798.79865506158262</v>
          </cell>
          <cell r="AA1429">
            <v>107.76403312604293</v>
          </cell>
          <cell r="AB1429">
            <v>-338.56728157409287</v>
          </cell>
          <cell r="AC1429">
            <v>-645.6309337480169</v>
          </cell>
          <cell r="AD1429">
            <v>-581.53454601901592</v>
          </cell>
          <cell r="AE1429">
            <v>19.053366212533774</v>
          </cell>
          <cell r="AF1429">
            <v>-20.072641586151008</v>
          </cell>
          <cell r="AG1429">
            <v>-1916.4016340430078</v>
          </cell>
          <cell r="AH1429">
            <v>-2498.9554554356409</v>
          </cell>
          <cell r="AI1429">
            <v>-1068.0554522755212</v>
          </cell>
          <cell r="AJ1429">
            <v>987.54181052942863</v>
          </cell>
          <cell r="AK1429">
            <v>-1408.2314846332345</v>
          </cell>
          <cell r="AL1429">
            <v>-1063.9615327815507</v>
          </cell>
          <cell r="AM1429">
            <v>-2552.7066591608777</v>
          </cell>
          <cell r="AN1429">
            <v>-447.209968878582</v>
          </cell>
          <cell r="AO1429">
            <v>639.64516830288017</v>
          </cell>
          <cell r="AP1429">
            <v>-144.67663179274928</v>
          </cell>
          <cell r="AR1429">
            <v>261.07500481277771</v>
          </cell>
        </row>
        <row r="2322">
          <cell r="X2322">
            <v>115.94154581464539</v>
          </cell>
          <cell r="Y2322">
            <v>54.737027409069398</v>
          </cell>
          <cell r="Z2322">
            <v>-201.26483777382106</v>
          </cell>
          <cell r="AA2322">
            <v>-97.511427262966478</v>
          </cell>
          <cell r="AB2322">
            <v>-24.220103246954764</v>
          </cell>
          <cell r="AC2322">
            <v>-268.25934087467289</v>
          </cell>
          <cell r="AD2322">
            <v>-117.0512447811938</v>
          </cell>
          <cell r="AE2322">
            <v>19.940306716824125</v>
          </cell>
          <cell r="AF2322">
            <v>29.630653385480542</v>
          </cell>
          <cell r="AG2322">
            <v>-323.41115355002376</v>
          </cell>
          <cell r="AH2322">
            <v>-390.89143822891293</v>
          </cell>
          <cell r="AI2322">
            <v>-375.75253516743965</v>
          </cell>
          <cell r="AJ2322">
            <v>258.45259906219889</v>
          </cell>
          <cell r="AK2322">
            <v>-250.62671858673917</v>
          </cell>
          <cell r="AL2322">
            <v>-225.19238239170977</v>
          </cell>
          <cell r="AM2322">
            <v>-593.1190370836897</v>
          </cell>
          <cell r="AN2322">
            <v>-59.087616091598122</v>
          </cell>
          <cell r="AO2322">
            <v>134.87334143073096</v>
          </cell>
          <cell r="AP2322">
            <v>-60.815246784481374</v>
          </cell>
          <cell r="AQ2322">
            <v>41.377019202181557</v>
          </cell>
          <cell r="AR2322">
            <v>56.347497756833029</v>
          </cell>
        </row>
      </sheetData>
      <sheetData sheetId="5"/>
      <sheetData sheetId="6"/>
      <sheetData sheetId="7">
        <row r="11">
          <cell r="K11">
            <v>1626.5558577096563</v>
          </cell>
        </row>
      </sheetData>
      <sheetData sheetId="8">
        <row r="18">
          <cell r="AR18">
            <v>-4.9044275586590187</v>
          </cell>
        </row>
      </sheetData>
      <sheetData sheetId="9"/>
      <sheetData sheetId="10"/>
      <sheetData sheetId="11"/>
      <sheetData sheetId="12">
        <row r="5">
          <cell r="AG5">
            <v>8728.9266655100455</v>
          </cell>
        </row>
        <row r="44">
          <cell r="AG44">
            <v>-186.42087900479504</v>
          </cell>
        </row>
        <row r="45">
          <cell r="AG45">
            <v>6021.7989916368942</v>
          </cell>
        </row>
        <row r="46">
          <cell r="AG46">
            <v>503.63341032299786</v>
          </cell>
        </row>
      </sheetData>
      <sheetData sheetId="13"/>
      <sheetData sheetId="14"/>
      <sheetData sheetId="15"/>
      <sheetData sheetId="16">
        <row r="3">
          <cell r="G3">
            <v>8728.9266655100455</v>
          </cell>
        </row>
      </sheetData>
      <sheetData sheetId="17"/>
      <sheetData sheetId="18"/>
      <sheetData sheetId="19"/>
      <sheetData sheetId="20">
        <row r="1">
          <cell r="B1">
            <v>35.389843548387091</v>
          </cell>
        </row>
        <row r="20">
          <cell r="G20">
            <v>11061.434999999999</v>
          </cell>
        </row>
        <row r="22">
          <cell r="G22">
            <v>-173.07599999999999</v>
          </cell>
        </row>
        <row r="24">
          <cell r="G24">
            <v>124.361</v>
          </cell>
        </row>
        <row r="25">
          <cell r="G25">
            <v>4222.3209999999999</v>
          </cell>
        </row>
        <row r="27">
          <cell r="G27">
            <v>1313.491</v>
          </cell>
        </row>
        <row r="28">
          <cell r="G28">
            <v>960.61599999999999</v>
          </cell>
        </row>
        <row r="31">
          <cell r="D31">
            <v>57.918000000000006</v>
          </cell>
          <cell r="G31">
            <v>162.07599999999999</v>
          </cell>
        </row>
        <row r="33">
          <cell r="G33">
            <v>-1050</v>
          </cell>
          <cell r="H33">
            <v>-1050.0000000000002</v>
          </cell>
        </row>
        <row r="57">
          <cell r="G57">
            <v>4140.3429999999998</v>
          </cell>
        </row>
        <row r="91">
          <cell r="G91">
            <v>14874.072</v>
          </cell>
        </row>
        <row r="94">
          <cell r="G94">
            <v>2759.5569999999998</v>
          </cell>
        </row>
        <row r="95">
          <cell r="G95">
            <v>91814.931000000011</v>
          </cell>
        </row>
        <row r="101">
          <cell r="G101">
            <v>102105.549</v>
          </cell>
        </row>
        <row r="102">
          <cell r="G102">
            <v>436.68990086587758</v>
          </cell>
        </row>
        <row r="104">
          <cell r="G104">
            <v>16490.128710519584</v>
          </cell>
        </row>
      </sheetData>
      <sheetData sheetId="21"/>
      <sheetData sheetId="22"/>
      <sheetData sheetId="23">
        <row r="1">
          <cell r="B1">
            <v>35.389843548387091</v>
          </cell>
        </row>
      </sheetData>
      <sheetData sheetId="24">
        <row r="14">
          <cell r="H14">
            <v>-200819.66805112362</v>
          </cell>
        </row>
      </sheetData>
      <sheetData sheetId="25"/>
      <sheetData sheetId="26"/>
      <sheetData sheetId="27"/>
      <sheetData sheetId="28"/>
      <sheetData sheetId="29"/>
      <sheetData sheetId="3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Qs"/>
      <sheetName val="Summary"/>
      <sheetName val="Technon PET consumption_11Oct16"/>
      <sheetName val="PTA Asia"/>
      <sheetName val="PTA Asia (Ratio of NCE) "/>
      <sheetName val="Asia Analysis"/>
      <sheetName val="By company"/>
      <sheetName val="EBITDA bridge"/>
      <sheetName val="Financials"/>
      <sheetName val="HVA INfo"/>
      <sheetName val="CMD 2018 Capex"/>
      <sheetName val="BS and NWC"/>
      <sheetName val="NCI"/>
      <sheetName val="Sheet2"/>
      <sheetName val="Analysis of Core EPS"/>
      <sheetName val="Analysis"/>
      <sheetName val="EBITDA table (VJ)"/>
      <sheetName val="Sheet1"/>
      <sheetName val="Exch rates"/>
      <sheetName val="Conso_table"/>
      <sheetName val="Sheet3"/>
      <sheetName val="MDA table"/>
      <sheetName val="Conso THB"/>
      <sheetName val="Restated"/>
      <sheetName val="Conso USD (2)"/>
      <sheetName val="EPS Calculation"/>
      <sheetName val="Conso USD"/>
      <sheetName val="Restate 2015"/>
      <sheetName val="PETwPck"/>
      <sheetName val="Poly+Wool"/>
      <sheetName val="Exchgrate"/>
      <sheetName val="Customers sales profile"/>
      <sheetName val="Feedstock"/>
      <sheetName val="loans to"/>
    </sheetNames>
    <sheetDataSet>
      <sheetData sheetId="0"/>
      <sheetData sheetId="1"/>
      <sheetData sheetId="2"/>
      <sheetData sheetId="3"/>
      <sheetData sheetId="4"/>
      <sheetData sheetId="5"/>
      <sheetData sheetId="6">
        <row r="2">
          <cell r="AP2">
            <v>35.255600000000001</v>
          </cell>
          <cell r="AW2">
            <v>33.933399999999999</v>
          </cell>
        </row>
        <row r="3">
          <cell r="AV3">
            <v>32.947000000000003</v>
          </cell>
        </row>
        <row r="4">
          <cell r="AW4">
            <v>32.680900000000001</v>
          </cell>
        </row>
        <row r="191">
          <cell r="AW191">
            <v>10380801.593413699</v>
          </cell>
        </row>
        <row r="377">
          <cell r="AS377">
            <v>2188137.5496729887</v>
          </cell>
          <cell r="AT377">
            <v>2222897.6203174391</v>
          </cell>
          <cell r="AU377">
            <v>2386628.5300104809</v>
          </cell>
          <cell r="AW377">
            <v>9103267.7084520292</v>
          </cell>
        </row>
        <row r="1547">
          <cell r="AW1547">
            <v>1271.2039524106096</v>
          </cell>
        </row>
        <row r="2512">
          <cell r="AW2512">
            <v>169.15565555441154</v>
          </cell>
        </row>
      </sheetData>
      <sheetData sheetId="7"/>
      <sheetData sheetId="8">
        <row r="20">
          <cell r="AV20">
            <v>0</v>
          </cell>
        </row>
      </sheetData>
      <sheetData sheetId="9"/>
      <sheetData sheetId="10"/>
      <sheetData sheetId="11"/>
      <sheetData sheetId="12"/>
      <sheetData sheetId="13"/>
      <sheetData sheetId="14"/>
      <sheetData sheetId="15"/>
      <sheetData sheetId="16"/>
      <sheetData sheetId="17"/>
      <sheetData sheetId="18"/>
      <sheetData sheetId="19">
        <row r="88">
          <cell r="G88">
            <v>763.50424512640961</v>
          </cell>
        </row>
      </sheetData>
      <sheetData sheetId="20"/>
      <sheetData sheetId="21">
        <row r="22">
          <cell r="CD22">
            <v>3866.9837954783134</v>
          </cell>
        </row>
        <row r="48">
          <cell r="CI48">
            <v>-539.68478535981205</v>
          </cell>
        </row>
        <row r="49">
          <cell r="CI49">
            <v>1380.6485665666301</v>
          </cell>
        </row>
        <row r="50">
          <cell r="CI50">
            <v>3363.73687559463</v>
          </cell>
        </row>
      </sheetData>
      <sheetData sheetId="22">
        <row r="1">
          <cell r="B1">
            <v>32.947000000000003</v>
          </cell>
          <cell r="AB1">
            <v>34.7029</v>
          </cell>
          <cell r="AC1">
            <v>35.4758</v>
          </cell>
        </row>
        <row r="2">
          <cell r="G2">
            <v>32.680900000000001</v>
          </cell>
          <cell r="H2">
            <v>35.8307</v>
          </cell>
          <cell r="AB2">
            <v>33.981400000000001</v>
          </cell>
          <cell r="AC2">
            <v>35.180199999999999</v>
          </cell>
        </row>
        <row r="20">
          <cell r="G20">
            <v>12108.697</v>
          </cell>
        </row>
        <row r="22">
          <cell r="G22">
            <v>28.405000000000001</v>
          </cell>
        </row>
        <row r="24">
          <cell r="G24">
            <v>102.432</v>
          </cell>
        </row>
        <row r="25">
          <cell r="G25">
            <v>3864.471</v>
          </cell>
        </row>
        <row r="27">
          <cell r="G27">
            <v>2850.4249850000001</v>
          </cell>
        </row>
        <row r="28">
          <cell r="G28">
            <v>-217.68077799999958</v>
          </cell>
        </row>
        <row r="31">
          <cell r="G31">
            <v>195.417</v>
          </cell>
        </row>
        <row r="33">
          <cell r="G33">
            <v>-1050.0000000000002</v>
          </cell>
        </row>
        <row r="36">
          <cell r="B36">
            <v>5245.2320779239126</v>
          </cell>
          <cell r="G36">
            <v>4985.1961624739724</v>
          </cell>
        </row>
        <row r="57">
          <cell r="G57">
            <v>7015.0879999999997</v>
          </cell>
        </row>
        <row r="91">
          <cell r="G91">
            <v>14874.072</v>
          </cell>
        </row>
        <row r="94">
          <cell r="G94">
            <v>1925.0409999999999</v>
          </cell>
        </row>
        <row r="95">
          <cell r="G95">
            <v>118986.692</v>
          </cell>
        </row>
        <row r="101">
          <cell r="G101">
            <v>95785.069999999992</v>
          </cell>
        </row>
        <row r="102">
          <cell r="G102">
            <v>-197.04563189092951</v>
          </cell>
        </row>
        <row r="104">
          <cell r="G104">
            <v>24952.00588455168</v>
          </cell>
        </row>
        <row r="145">
          <cell r="G145">
            <v>286332.272</v>
          </cell>
        </row>
        <row r="153">
          <cell r="G153">
            <v>34077.45016858937</v>
          </cell>
        </row>
      </sheetData>
      <sheetData sheetId="23"/>
      <sheetData sheetId="24"/>
      <sheetData sheetId="25">
        <row r="15">
          <cell r="E15">
            <v>4814293210.1777782</v>
          </cell>
        </row>
      </sheetData>
      <sheetData sheetId="26">
        <row r="1">
          <cell r="B1">
            <v>32.947000000000003</v>
          </cell>
        </row>
      </sheetData>
      <sheetData sheetId="27"/>
      <sheetData sheetId="28"/>
      <sheetData sheetId="29"/>
      <sheetData sheetId="30"/>
      <sheetData sheetId="31"/>
      <sheetData sheetId="32"/>
      <sheetData sheetId="3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company"/>
      <sheetName val="EBITDA bridge"/>
      <sheetName val="EPS Calculation"/>
      <sheetName val="Financials"/>
      <sheetName val="CMD 2018 Capex"/>
      <sheetName val="BS and NWC"/>
      <sheetName val="NCI"/>
      <sheetName val="Analysis of Core EPS"/>
      <sheetName val="Exch rates"/>
      <sheetName val="EBITDA table (VJ)"/>
      <sheetName val="MDA table_old"/>
      <sheetName val="MDA table"/>
      <sheetName val="Sheet3"/>
      <sheetName val="Conso_table"/>
      <sheetName val="Restated"/>
      <sheetName val="Conso USD"/>
      <sheetName val="Conso THB"/>
      <sheetName val="Restate 2015"/>
      <sheetName val="PETwPck"/>
      <sheetName val="Poly+Wool"/>
      <sheetName val="Exchgrate"/>
      <sheetName val="Feedstock"/>
      <sheetName val="loans to"/>
    </sheetNames>
    <sheetDataSet>
      <sheetData sheetId="0">
        <row r="2">
          <cell r="AX2">
            <v>31.542200000000001</v>
          </cell>
          <cell r="BC2">
            <v>32.351199999999999</v>
          </cell>
          <cell r="BD2">
            <v>34.540999999999997</v>
          </cell>
        </row>
        <row r="3">
          <cell r="AZ3">
            <v>32.975000000000001</v>
          </cell>
        </row>
        <row r="4">
          <cell r="AZ4">
            <v>32.406599999999997</v>
          </cell>
          <cell r="BC4">
            <v>32.406599999999997</v>
          </cell>
          <cell r="BD4">
            <v>33.368400000000001</v>
          </cell>
        </row>
        <row r="215">
          <cell r="AZ215">
            <v>3146663.7336422331</v>
          </cell>
          <cell r="BC215">
            <v>11261229.791039221</v>
          </cell>
          <cell r="BD215">
            <v>10342696.787038621</v>
          </cell>
        </row>
        <row r="425">
          <cell r="AZ425">
            <v>2729982.9088126062</v>
          </cell>
          <cell r="BC425">
            <v>9906959.8280693423</v>
          </cell>
          <cell r="BD425">
            <v>9062885.3700065427</v>
          </cell>
        </row>
        <row r="1725">
          <cell r="AZ1725">
            <v>2193.1135263484043</v>
          </cell>
          <cell r="BC1725">
            <v>3529.0846462948443</v>
          </cell>
          <cell r="BD1725">
            <v>1015.4692089979989</v>
          </cell>
        </row>
        <row r="2798">
          <cell r="AZ2798">
            <v>418.48376893397648</v>
          </cell>
          <cell r="BC2798">
            <v>583.60679411304363</v>
          </cell>
          <cell r="BD2798">
            <v>186.65826652586799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0">
          <cell r="B20">
            <v>895.67280722218538</v>
          </cell>
        </row>
      </sheetData>
      <sheetData sheetId="10" refreshError="1"/>
      <sheetData sheetId="11" refreshError="1"/>
      <sheetData sheetId="12" refreshError="1"/>
      <sheetData sheetId="13" refreshError="1"/>
      <sheetData sheetId="14" refreshError="1"/>
      <sheetData sheetId="15">
        <row r="20">
          <cell r="B20">
            <v>116.57972239490411</v>
          </cell>
        </row>
      </sheetData>
      <sheetData sheetId="16">
        <row r="20">
          <cell r="B20">
            <v>3830.945126999999</v>
          </cell>
          <cell r="J20">
            <v>13392.940350000001</v>
          </cell>
          <cell r="K20">
            <v>11752.461233</v>
          </cell>
        </row>
        <row r="22">
          <cell r="B22">
            <v>479.14361300000002</v>
          </cell>
          <cell r="J22">
            <v>598.64712799999995</v>
          </cell>
          <cell r="K22">
            <v>24.467000000000013</v>
          </cell>
        </row>
        <row r="24">
          <cell r="B24">
            <v>-1036.365</v>
          </cell>
          <cell r="J24">
            <v>-3528.7729999999997</v>
          </cell>
          <cell r="K24">
            <v>-3931.8950000000004</v>
          </cell>
        </row>
        <row r="29">
          <cell r="B29">
            <v>1491.587</v>
          </cell>
          <cell r="J29">
            <v>4780.0623659999992</v>
          </cell>
          <cell r="K29">
            <v>1847.6994590000002</v>
          </cell>
        </row>
        <row r="30">
          <cell r="B30">
            <v>-473.17982800000004</v>
          </cell>
          <cell r="J30">
            <v>-1349.2118749999995</v>
          </cell>
          <cell r="K30">
            <v>1079.2098580000002</v>
          </cell>
        </row>
        <row r="33">
          <cell r="B33">
            <v>-63.506999999999998</v>
          </cell>
          <cell r="J33">
            <v>15.347000000000008</v>
          </cell>
          <cell r="K33">
            <v>170.76199999999997</v>
          </cell>
        </row>
        <row r="35">
          <cell r="B35">
            <v>-264.65753424657555</v>
          </cell>
          <cell r="J35">
            <v>-1050.0000000000002</v>
          </cell>
          <cell r="K35">
            <v>-1049.276891982933</v>
          </cell>
        </row>
        <row r="38">
          <cell r="B38">
            <v>5584.9049171521738</v>
          </cell>
          <cell r="J38">
            <v>5419.0333699452049</v>
          </cell>
          <cell r="K38">
            <v>4876.5706375726031</v>
          </cell>
        </row>
        <row r="59">
          <cell r="B59">
            <v>11328.148999999999</v>
          </cell>
        </row>
        <row r="93">
          <cell r="B93">
            <v>14874.072</v>
          </cell>
        </row>
        <row r="96">
          <cell r="B96">
            <v>5854.3549999999996</v>
          </cell>
        </row>
        <row r="97">
          <cell r="B97">
            <v>150032.22500000001</v>
          </cell>
        </row>
        <row r="103">
          <cell r="B103">
            <v>117788.95699999999</v>
          </cell>
        </row>
        <row r="104">
          <cell r="B104">
            <v>-44.956530975793001</v>
          </cell>
        </row>
        <row r="106">
          <cell r="B106">
            <v>27315.63193477357</v>
          </cell>
        </row>
        <row r="145">
          <cell r="B145">
            <v>96000.728879000002</v>
          </cell>
          <cell r="J145">
            <v>326151.65687900002</v>
          </cell>
          <cell r="K145">
            <v>281205.07500000001</v>
          </cell>
        </row>
        <row r="153">
          <cell r="B153">
            <v>13447.407466201623</v>
          </cell>
          <cell r="J153">
            <v>44566.970529255173</v>
          </cell>
          <cell r="K153">
            <v>32893.152317001957</v>
          </cell>
        </row>
        <row r="171">
          <cell r="B171">
            <v>-4.4808597735419653</v>
          </cell>
        </row>
        <row r="172">
          <cell r="B172">
            <v>-255.79549023576465</v>
          </cell>
        </row>
        <row r="173">
          <cell r="B173">
            <v>16.795075464016001</v>
          </cell>
        </row>
        <row r="188">
          <cell r="B188">
            <v>0</v>
          </cell>
        </row>
      </sheetData>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ayback"/>
      <sheetName val="8 Qs"/>
      <sheetName val="Summary"/>
      <sheetName val="By company"/>
      <sheetName val="EBITDA bridge"/>
      <sheetName val="HVA INfo"/>
      <sheetName val="MDA table"/>
      <sheetName val="Sheet2"/>
      <sheetName val="Analysis of Core EPS"/>
      <sheetName val="EBITDA table (VJ)"/>
      <sheetName val="Sheet1"/>
      <sheetName val="Financials"/>
      <sheetName val="Exch rates"/>
      <sheetName val="Conso_table"/>
      <sheetName val="Restated"/>
      <sheetName val="Conso THB"/>
      <sheetName val="Conso USD"/>
      <sheetName val="PETwPck"/>
      <sheetName val="Poly+Wool"/>
      <sheetName val="Exchgrate"/>
      <sheetName val="Customers sales profile"/>
      <sheetName val="By Company Data"/>
      <sheetName val="HVA_Comm"/>
      <sheetName val="By Segment"/>
      <sheetName val="By Region"/>
      <sheetName val="Workings"/>
      <sheetName val="Feedstock"/>
      <sheetName val="loans to"/>
      <sheetName val="EBITDA table"/>
    </sheetNames>
    <sheetDataSet>
      <sheetData sheetId="0" refreshError="1"/>
      <sheetData sheetId="1" refreshError="1"/>
      <sheetData sheetId="2" refreshError="1"/>
      <sheetData sheetId="3" refreshError="1">
        <row r="2">
          <cell r="AK2">
            <v>33.756192817679548</v>
          </cell>
        </row>
        <row r="161">
          <cell r="AK161">
            <v>2157687.5945205479</v>
          </cell>
        </row>
        <row r="317">
          <cell r="AK317">
            <v>1801528.8626199989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20">
          <cell r="B20">
            <v>2405.0500000000002</v>
          </cell>
        </row>
        <row r="22">
          <cell r="B22">
            <v>-124.28400000000001</v>
          </cell>
        </row>
        <row r="23">
          <cell r="B23">
            <v>-14.692999999999302</v>
          </cell>
        </row>
        <row r="24">
          <cell r="B24">
            <v>13.351070822460997</v>
          </cell>
        </row>
        <row r="25">
          <cell r="B25">
            <v>918.18404050682977</v>
          </cell>
        </row>
        <row r="27">
          <cell r="B27">
            <v>270.34557582981807</v>
          </cell>
        </row>
        <row r="28">
          <cell r="B28">
            <v>270.32619031034005</v>
          </cell>
        </row>
        <row r="31">
          <cell r="B31">
            <v>38.369</v>
          </cell>
        </row>
        <row r="57">
          <cell r="B57">
            <v>4900.348</v>
          </cell>
        </row>
        <row r="90">
          <cell r="B90">
            <v>14874.07167302</v>
          </cell>
        </row>
        <row r="100">
          <cell r="B100">
            <v>84997.556000000011</v>
          </cell>
        </row>
        <row r="101">
          <cell r="B101">
            <v>397.95467451059449</v>
          </cell>
        </row>
        <row r="103">
          <cell r="B103">
            <v>10528.984727162579</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ayback"/>
      <sheetName val="8 Qs"/>
      <sheetName val="Summary"/>
      <sheetName val="By company"/>
      <sheetName val="PTA Asia"/>
      <sheetName val="PTA Asia (Ratio of NCE) "/>
      <sheetName val="Financials"/>
      <sheetName val="EBITDA bridge"/>
      <sheetName val="HVA INfo"/>
      <sheetName val="MDA table"/>
      <sheetName val="Sheet2"/>
      <sheetName val="Analysis of Core EPS"/>
      <sheetName val="EBITDA table (VJ)"/>
      <sheetName val="Sheet1"/>
      <sheetName val="Exch rates"/>
      <sheetName val="Conso_table"/>
      <sheetName val="Restated"/>
      <sheetName val="Conso USD (2)"/>
      <sheetName val="Conso USD"/>
      <sheetName val="Conso THB"/>
      <sheetName val="Restate 2015"/>
      <sheetName val="PETwPck"/>
      <sheetName val="Poly+Wool"/>
      <sheetName val="Exchgrate"/>
      <sheetName val="Customers sales profile"/>
      <sheetName val="By Company Data"/>
      <sheetName val="HVA_Comm"/>
      <sheetName val="By Segment"/>
      <sheetName val="By Region"/>
      <sheetName val="Workings"/>
      <sheetName val="Feedstock"/>
      <sheetName val="loans to"/>
      <sheetName val="EBITDA table"/>
    </sheetNames>
    <sheetDataSet>
      <sheetData sheetId="0"/>
      <sheetData sheetId="1"/>
      <sheetData sheetId="2"/>
      <sheetData sheetId="3">
        <row r="2">
          <cell r="X2">
            <v>31.087</v>
          </cell>
        </row>
        <row r="163">
          <cell r="AL163">
            <v>2163013.6219178084</v>
          </cell>
        </row>
        <row r="321">
          <cell r="AL321">
            <v>1780762.266480569</v>
          </cell>
        </row>
      </sheetData>
      <sheetData sheetId="4"/>
      <sheetData sheetId="5"/>
      <sheetData sheetId="6">
        <row r="16">
          <cell r="AL16">
            <v>71.16572795287658</v>
          </cell>
        </row>
      </sheetData>
      <sheetData sheetId="7"/>
      <sheetData sheetId="8"/>
      <sheetData sheetId="9">
        <row r="15">
          <cell r="AC15">
            <v>12997.451336197175</v>
          </cell>
        </row>
      </sheetData>
      <sheetData sheetId="10"/>
      <sheetData sheetId="11"/>
      <sheetData sheetId="12">
        <row r="3">
          <cell r="W3">
            <v>7023.597275263648</v>
          </cell>
        </row>
      </sheetData>
      <sheetData sheetId="13"/>
      <sheetData sheetId="14"/>
      <sheetData sheetId="15">
        <row r="21">
          <cell r="B21">
            <v>6.7871282598298069E-2</v>
          </cell>
        </row>
      </sheetData>
      <sheetData sheetId="16"/>
      <sheetData sheetId="17"/>
      <sheetData sheetId="18">
        <row r="1">
          <cell r="G1">
            <v>34.286106172839489</v>
          </cell>
        </row>
      </sheetData>
      <sheetData sheetId="19">
        <row r="10">
          <cell r="B10">
            <v>57478.802695463004</v>
          </cell>
        </row>
        <row r="20">
          <cell r="G20">
            <v>9325.0059999999994</v>
          </cell>
        </row>
        <row r="22">
          <cell r="B22">
            <v>-148.39199999999997</v>
          </cell>
          <cell r="G22">
            <v>-396.33799999999997</v>
          </cell>
        </row>
        <row r="23">
          <cell r="G23">
            <v>2412.761</v>
          </cell>
        </row>
        <row r="24">
          <cell r="B24">
            <v>57.840929177538996</v>
          </cell>
          <cell r="G24">
            <v>166.68899999999999</v>
          </cell>
        </row>
        <row r="25">
          <cell r="B25">
            <v>1024.8169594931701</v>
          </cell>
          <cell r="G25">
            <v>3747.0160000000001</v>
          </cell>
        </row>
        <row r="27">
          <cell r="B27">
            <v>103.41354028968999</v>
          </cell>
          <cell r="G27">
            <v>826.68800011950805</v>
          </cell>
        </row>
        <row r="28">
          <cell r="B28">
            <v>-444.45306558660002</v>
          </cell>
          <cell r="G28">
            <v>800.85736172374004</v>
          </cell>
        </row>
        <row r="31">
          <cell r="G31">
            <v>279.13</v>
          </cell>
        </row>
        <row r="57">
          <cell r="B57">
            <v>3684.2809999999999</v>
          </cell>
          <cell r="G57">
            <v>3684.2809999999999</v>
          </cell>
        </row>
        <row r="91">
          <cell r="B91">
            <v>14874.072</v>
          </cell>
          <cell r="G91">
            <v>14874.072</v>
          </cell>
        </row>
        <row r="95">
          <cell r="B95">
            <v>82952.963000000003</v>
          </cell>
          <cell r="G95">
            <v>82952.963000000003</v>
          </cell>
          <cell r="H95">
            <v>74609.631248535894</v>
          </cell>
        </row>
        <row r="101">
          <cell r="B101">
            <v>83606.256000000008</v>
          </cell>
          <cell r="G101">
            <v>83606.256000000008</v>
          </cell>
        </row>
        <row r="102">
          <cell r="B102">
            <v>587.75430646338395</v>
          </cell>
          <cell r="G102">
            <v>587.75430646338395</v>
          </cell>
        </row>
        <row r="104">
          <cell r="B104">
            <v>12037.809103577802</v>
          </cell>
          <cell r="G104">
            <v>12037.809103577802</v>
          </cell>
        </row>
      </sheetData>
      <sheetData sheetId="20">
        <row r="14">
          <cell r="G14">
            <v>-50494.95653706789</v>
          </cell>
          <cell r="H14">
            <v>-200819.66805112362</v>
          </cell>
          <cell r="Q14">
            <v>-210045.80579331517</v>
          </cell>
        </row>
        <row r="15">
          <cell r="H15">
            <v>10905.072577023879</v>
          </cell>
          <cell r="L15">
            <v>2782.3034795203712</v>
          </cell>
          <cell r="Q15">
            <v>12363.11629573931</v>
          </cell>
        </row>
        <row r="16">
          <cell r="H16">
            <v>239</v>
          </cell>
          <cell r="Q16">
            <v>325.01131035166327</v>
          </cell>
        </row>
        <row r="23">
          <cell r="L23">
            <v>2.8446865080945511</v>
          </cell>
        </row>
      </sheetData>
      <sheetData sheetId="21">
        <row r="6">
          <cell r="B6">
            <v>1052752.5808219179</v>
          </cell>
        </row>
      </sheetData>
      <sheetData sheetId="22">
        <row r="7">
          <cell r="B7">
            <v>376022.904109589</v>
          </cell>
        </row>
      </sheetData>
      <sheetData sheetId="23"/>
      <sheetData sheetId="24"/>
      <sheetData sheetId="25"/>
      <sheetData sheetId="26"/>
      <sheetData sheetId="27"/>
      <sheetData sheetId="28"/>
      <sheetData sheetId="29"/>
      <sheetData sheetId="30">
        <row r="7">
          <cell r="B7">
            <v>732751.01369863015</v>
          </cell>
        </row>
      </sheetData>
      <sheetData sheetId="31"/>
      <sheetData sheetId="3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ayback"/>
      <sheetName val="8 Qs"/>
      <sheetName val="Summary"/>
      <sheetName val="By company"/>
      <sheetName val="PTA Asia"/>
      <sheetName val="PTA Asia (Ratio of NCE) "/>
      <sheetName val="EBITDA bridge"/>
      <sheetName val="Financials"/>
      <sheetName val="HVA INfo"/>
      <sheetName val="Analysis"/>
      <sheetName val="MDA table"/>
      <sheetName val="Sheet2"/>
      <sheetName val="Analysis of Core EPS"/>
      <sheetName val="EBITDA table (VJ)"/>
      <sheetName val="Sheet1"/>
      <sheetName val="Exch rates"/>
      <sheetName val="Conso_table"/>
      <sheetName val="Conso THB"/>
      <sheetName val="Restated"/>
      <sheetName val="Conso USD (2)"/>
      <sheetName val="Conso USD"/>
      <sheetName val="Restate 2015"/>
      <sheetName val="PETwPck"/>
      <sheetName val="Poly+Wool"/>
      <sheetName val="Exchgrate"/>
      <sheetName val="Customers sales profile"/>
      <sheetName val="By Company Data"/>
      <sheetName val="HVA_Comm"/>
      <sheetName val="By Segment"/>
      <sheetName val="By Region"/>
      <sheetName val="Workings"/>
      <sheetName val="Feedstock"/>
      <sheetName val="loans to"/>
      <sheetName val="EBITDA table"/>
    </sheetNames>
    <sheetDataSet>
      <sheetData sheetId="0" refreshError="1"/>
      <sheetData sheetId="1" refreshError="1"/>
      <sheetData sheetId="2" refreshError="1"/>
      <sheetData sheetId="3" refreshError="1">
        <row r="3">
          <cell r="AN3">
            <v>35.646999999999998</v>
          </cell>
        </row>
        <row r="177">
          <cell r="AN177">
            <v>2204590.6940386901</v>
          </cell>
        </row>
        <row r="349">
          <cell r="AN349">
            <v>1764770.9200019871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0">
          <cell r="B10">
            <v>57164.233</v>
          </cell>
        </row>
        <row r="20">
          <cell r="B20">
            <v>2342.018</v>
          </cell>
          <cell r="D20">
            <v>2058.8585335106204</v>
          </cell>
        </row>
        <row r="22">
          <cell r="B22">
            <v>-25.888999999999999</v>
          </cell>
        </row>
        <row r="23">
          <cell r="B23">
            <v>3276.1452029999996</v>
          </cell>
          <cell r="D23">
            <v>137.53691600000002</v>
          </cell>
        </row>
        <row r="24">
          <cell r="B24">
            <v>53.451000000000001</v>
          </cell>
        </row>
        <row r="25">
          <cell r="B25">
            <v>1000.328</v>
          </cell>
        </row>
        <row r="27">
          <cell r="B27">
            <v>211.22981999999999</v>
          </cell>
        </row>
        <row r="28">
          <cell r="B28">
            <v>-63.875366999999997</v>
          </cell>
          <cell r="D28">
            <v>193.48131441157298</v>
          </cell>
        </row>
        <row r="31">
          <cell r="B31">
            <v>66.436000000000007</v>
          </cell>
          <cell r="D31">
            <v>89.989000000000004</v>
          </cell>
        </row>
        <row r="57">
          <cell r="B57">
            <v>7285.8609999999999</v>
          </cell>
          <cell r="D57">
            <v>14174.67</v>
          </cell>
        </row>
        <row r="91">
          <cell r="B91">
            <v>14874.072</v>
          </cell>
        </row>
        <row r="95">
          <cell r="B95">
            <v>86293.237000000008</v>
          </cell>
          <cell r="D95">
            <v>72060.992946355676</v>
          </cell>
        </row>
        <row r="101">
          <cell r="B101">
            <v>100455.768</v>
          </cell>
          <cell r="D101">
            <v>72039.027667787741</v>
          </cell>
        </row>
        <row r="102">
          <cell r="B102">
            <v>547.46894744268297</v>
          </cell>
          <cell r="D102">
            <v>87.3718775360622</v>
          </cell>
        </row>
        <row r="104">
          <cell r="B104">
            <v>27717.566694500369</v>
          </cell>
          <cell r="D104">
            <v>5158.0341910898405</v>
          </cell>
        </row>
      </sheetData>
      <sheetData sheetId="18" refreshError="1"/>
      <sheetData sheetId="19" refreshError="1"/>
      <sheetData sheetId="20" refreshError="1">
        <row r="20">
          <cell r="B20">
            <v>65.700283333800883</v>
          </cell>
        </row>
        <row r="36">
          <cell r="H36">
            <v>4814</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79"/>
  <sheetViews>
    <sheetView tabSelected="1" view="pageBreakPreview" zoomScale="80" zoomScaleNormal="100" zoomScaleSheetLayoutView="80" workbookViewId="0">
      <pane xSplit="2" ySplit="2" topLeftCell="E3" activePane="bottomRight" state="frozen"/>
      <selection activeCell="AF13" sqref="AF13"/>
      <selection pane="topRight" activeCell="AF13" sqref="AF13"/>
      <selection pane="bottomLeft" activeCell="AF13" sqref="AF13"/>
      <selection pane="bottomRight" activeCell="A71" sqref="A71"/>
    </sheetView>
  </sheetViews>
  <sheetFormatPr defaultColWidth="9.1796875" defaultRowHeight="13" outlineLevelRow="1" outlineLevelCol="1"/>
  <cols>
    <col min="1" max="1" width="51.36328125" style="3" customWidth="1"/>
    <col min="2" max="2" width="9.1796875" style="2" customWidth="1"/>
    <col min="3" max="3" width="8.54296875" style="3" hidden="1" customWidth="1" outlineLevel="1"/>
    <col min="4" max="4" width="8.81640625" style="3" hidden="1" customWidth="1" outlineLevel="1"/>
    <col min="5" max="5" width="9.54296875" style="3" bestFit="1" customWidth="1" collapsed="1"/>
    <col min="6" max="6" width="9.54296875" style="3" customWidth="1"/>
    <col min="7" max="8" width="9.54296875" style="3" bestFit="1" customWidth="1"/>
    <col min="9" max="10" width="9.54296875" style="162" bestFit="1" customWidth="1"/>
    <col min="11" max="12" width="9.54296875" style="163" bestFit="1" customWidth="1"/>
    <col min="13" max="21" width="9.54296875" style="3" hidden="1" customWidth="1" outlineLevel="1"/>
    <col min="22" max="26" width="9.54296875" style="2" hidden="1" customWidth="1" outlineLevel="1"/>
    <col min="27" max="30" width="9.54296875" style="3" hidden="1" customWidth="1" outlineLevel="1"/>
    <col min="31" max="31" width="9.54296875" style="3" bestFit="1" customWidth="1" collapsed="1"/>
    <col min="32" max="33" width="9.54296875" style="3" hidden="1" customWidth="1"/>
    <col min="34" max="35" width="9.54296875" style="3" bestFit="1" customWidth="1"/>
    <col min="36" max="38" width="9.54296875" style="3" hidden="1" customWidth="1" outlineLevel="1"/>
    <col min="39" max="39" width="8.7265625" style="3" hidden="1" customWidth="1" outlineLevel="1"/>
    <col min="40" max="40" width="9.54296875" style="3" hidden="1" customWidth="1" outlineLevel="1"/>
    <col min="41" max="41" width="9.54296875" style="162" hidden="1" customWidth="1" outlineLevel="1"/>
    <col min="42" max="44" width="9.1796875" style="3" hidden="1" customWidth="1" outlineLevel="1"/>
    <col min="45" max="45" width="1" style="3" hidden="1" customWidth="1" outlineLevel="1"/>
    <col min="46" max="46" width="10.1796875" style="3" bestFit="1" customWidth="1" collapsed="1"/>
    <col min="47" max="54" width="11.54296875" style="3" bestFit="1" customWidth="1"/>
    <col min="55" max="16384" width="9.1796875" style="3"/>
  </cols>
  <sheetData>
    <row r="1" spans="1:54" s="4" customFormat="1" ht="15" customHeight="1">
      <c r="A1" s="1" t="s">
        <v>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row>
    <row r="2" spans="1:54" s="4" customFormat="1" ht="31.5" customHeight="1">
      <c r="A2" s="5" t="s">
        <v>1</v>
      </c>
      <c r="B2" s="6"/>
      <c r="C2" s="7">
        <v>2010</v>
      </c>
      <c r="D2" s="7">
        <v>2011</v>
      </c>
      <c r="E2" s="7">
        <v>2012</v>
      </c>
      <c r="F2" s="8" t="s">
        <v>2</v>
      </c>
      <c r="G2" s="8" t="s">
        <v>3</v>
      </c>
      <c r="H2" s="7">
        <v>2015</v>
      </c>
      <c r="I2" s="7">
        <v>2016</v>
      </c>
      <c r="J2" s="9">
        <v>2017</v>
      </c>
      <c r="K2" s="9" t="s">
        <v>4</v>
      </c>
      <c r="L2" s="7" t="s">
        <v>5</v>
      </c>
      <c r="M2" s="10" t="s">
        <v>6</v>
      </c>
      <c r="N2" s="11" t="s">
        <v>7</v>
      </c>
      <c r="O2" s="11" t="s">
        <v>8</v>
      </c>
      <c r="P2" s="11" t="s">
        <v>9</v>
      </c>
      <c r="Q2" s="11" t="s">
        <v>10</v>
      </c>
      <c r="R2" s="11" t="s">
        <v>11</v>
      </c>
      <c r="S2" s="11" t="s">
        <v>12</v>
      </c>
      <c r="T2" s="11" t="s">
        <v>13</v>
      </c>
      <c r="U2" s="11" t="s">
        <v>14</v>
      </c>
      <c r="V2" s="12" t="s">
        <v>15</v>
      </c>
      <c r="W2" s="12" t="s">
        <v>16</v>
      </c>
      <c r="X2" s="11" t="s">
        <v>17</v>
      </c>
      <c r="Y2" s="11" t="s">
        <v>18</v>
      </c>
      <c r="Z2" s="11" t="s">
        <v>19</v>
      </c>
      <c r="AA2" s="11" t="s">
        <v>20</v>
      </c>
      <c r="AB2" s="11" t="s">
        <v>21</v>
      </c>
      <c r="AC2" s="11" t="s">
        <v>22</v>
      </c>
      <c r="AD2" s="11" t="s">
        <v>23</v>
      </c>
      <c r="AE2" s="11" t="s">
        <v>24</v>
      </c>
      <c r="AF2" s="11" t="s">
        <v>25</v>
      </c>
      <c r="AG2" s="11" t="s">
        <v>26</v>
      </c>
      <c r="AH2" s="11" t="s">
        <v>27</v>
      </c>
      <c r="AI2" s="11" t="s">
        <v>28</v>
      </c>
      <c r="AJ2" s="10" t="s">
        <v>29</v>
      </c>
      <c r="AK2" s="11" t="s">
        <v>30</v>
      </c>
      <c r="AL2" s="11" t="s">
        <v>31</v>
      </c>
      <c r="AM2" s="11" t="s">
        <v>32</v>
      </c>
      <c r="AN2" s="11" t="s">
        <v>33</v>
      </c>
      <c r="AO2" s="13" t="s">
        <v>34</v>
      </c>
      <c r="AP2" s="13" t="s">
        <v>35</v>
      </c>
      <c r="AQ2" s="13" t="s">
        <v>36</v>
      </c>
      <c r="AR2" s="13" t="s">
        <v>37</v>
      </c>
      <c r="AS2" s="13" t="s">
        <v>38</v>
      </c>
    </row>
    <row r="3" spans="1:54" s="22" customFormat="1" ht="25">
      <c r="A3" s="14" t="s">
        <v>39</v>
      </c>
      <c r="B3" s="15"/>
      <c r="C3" s="16"/>
      <c r="D3" s="16"/>
      <c r="E3" s="16"/>
      <c r="F3" s="16"/>
      <c r="G3" s="17"/>
      <c r="H3" s="17"/>
      <c r="I3" s="17"/>
      <c r="J3" s="17"/>
      <c r="K3" s="18"/>
      <c r="L3" s="19"/>
      <c r="M3" s="16"/>
      <c r="N3" s="16"/>
      <c r="O3" s="16"/>
      <c r="P3" s="16"/>
      <c r="Q3" s="16"/>
      <c r="R3" s="16"/>
      <c r="S3" s="16"/>
      <c r="T3" s="16"/>
      <c r="U3" s="20"/>
      <c r="V3" s="16"/>
      <c r="W3" s="16"/>
      <c r="X3" s="16"/>
      <c r="Y3" s="16"/>
      <c r="Z3" s="16"/>
      <c r="AA3" s="16"/>
      <c r="AB3" s="16"/>
      <c r="AC3" s="16"/>
      <c r="AD3" s="16"/>
      <c r="AE3" s="16"/>
      <c r="AF3" s="16"/>
      <c r="AG3" s="16"/>
      <c r="AH3" s="16"/>
      <c r="AI3" s="21"/>
      <c r="AJ3" s="16"/>
      <c r="AK3" s="16"/>
      <c r="AL3" s="16"/>
      <c r="AM3" s="16"/>
      <c r="AN3" s="16"/>
      <c r="AO3" s="17"/>
      <c r="AP3" s="16"/>
      <c r="AQ3" s="16"/>
      <c r="AR3" s="16"/>
      <c r="AS3" s="16"/>
    </row>
    <row r="4" spans="1:54">
      <c r="A4" s="3" t="s">
        <v>40</v>
      </c>
      <c r="B4" s="2" t="s">
        <v>41</v>
      </c>
      <c r="C4" s="23">
        <v>3.26</v>
      </c>
      <c r="D4" s="23">
        <v>5.4939999999999998</v>
      </c>
      <c r="E4" s="23">
        <v>6.78</v>
      </c>
      <c r="F4" s="23">
        <v>7.0289999999999999</v>
      </c>
      <c r="G4" s="23">
        <v>7.51</v>
      </c>
      <c r="H4" s="23">
        <f>'[1]Historical Financials in USD'!H4</f>
        <v>8.7759999999999998</v>
      </c>
      <c r="I4" s="23">
        <f>'[1]Installed Capacities'!H40/10^3</f>
        <v>10.470313663308316</v>
      </c>
      <c r="J4" s="23">
        <f>'[1]Installed Capacities'!I40/10^3</f>
        <v>10.664965558165965</v>
      </c>
      <c r="K4" s="24"/>
      <c r="L4" s="25"/>
      <c r="M4" s="26"/>
      <c r="N4" s="26"/>
      <c r="O4" s="26"/>
      <c r="P4" s="26"/>
      <c r="Q4" s="26"/>
      <c r="R4" s="26"/>
      <c r="S4" s="26"/>
      <c r="T4" s="26"/>
      <c r="U4" s="26"/>
      <c r="V4" s="27"/>
      <c r="W4" s="27"/>
      <c r="X4" s="27"/>
      <c r="Y4" s="27"/>
      <c r="Z4" s="27"/>
      <c r="AA4" s="27"/>
      <c r="AB4" s="27"/>
      <c r="AC4" s="27"/>
      <c r="AD4" s="27"/>
      <c r="AE4" s="27"/>
      <c r="AF4" s="27"/>
      <c r="AG4" s="27"/>
      <c r="AH4" s="27"/>
      <c r="AI4" s="28"/>
      <c r="AJ4" s="27"/>
      <c r="AK4" s="27"/>
      <c r="AL4" s="27"/>
      <c r="AM4" s="27"/>
      <c r="AN4" s="27"/>
      <c r="AO4" s="23">
        <f>[2]Financials!$AX$3</f>
        <v>11.641444880705377</v>
      </c>
      <c r="AP4" s="29"/>
      <c r="AQ4" s="29"/>
      <c r="AR4" s="29"/>
      <c r="AS4" s="29"/>
    </row>
    <row r="5" spans="1:54">
      <c r="A5" s="3" t="s">
        <v>42</v>
      </c>
      <c r="B5" s="2" t="s">
        <v>41</v>
      </c>
      <c r="C5" s="30">
        <f>[3]Conso_table!$DU$33/10^6</f>
        <v>3.260861095890411</v>
      </c>
      <c r="D5" s="30">
        <f>[3]Conso_table!$DT$33/10^6</f>
        <v>5.0987422999999996</v>
      </c>
      <c r="E5" s="30">
        <f>[3]Conso_table!$CD$33/10^6</f>
        <v>6.2811430557377044</v>
      </c>
      <c r="F5" s="30">
        <f>[3]Conso_table!$Q$33/10^6</f>
        <v>6.8188870000000001</v>
      </c>
      <c r="G5" s="30">
        <f>SUM(Q5:T5)</f>
        <v>7.3134799999999993</v>
      </c>
      <c r="H5" s="30">
        <f>SUM(U5:X5)</f>
        <v>8.2030046986301386</v>
      </c>
      <c r="I5" s="23">
        <f>'[4]By company'!$AR$175/10^6</f>
        <v>10.178894686942215</v>
      </c>
      <c r="J5" s="31">
        <f>'[5]By company'!$AW$191/10^6</f>
        <v>10.380801593413699</v>
      </c>
      <c r="K5" s="23">
        <f>'[6]By company'!$BD$215/10^6</f>
        <v>10.342696787038621</v>
      </c>
      <c r="L5" s="32">
        <f>'[6]By company'!$BC$215/10^6</f>
        <v>11.261229791039222</v>
      </c>
      <c r="M5" s="23">
        <v>1.67126317</v>
      </c>
      <c r="N5" s="23">
        <v>1.6925056200000004</v>
      </c>
      <c r="O5" s="23">
        <v>1.712436001095889</v>
      </c>
      <c r="P5" s="23">
        <v>1.7426822089041107</v>
      </c>
      <c r="Q5" s="23">
        <v>1.7105372100000003</v>
      </c>
      <c r="R5" s="23">
        <v>1.8487242999999998</v>
      </c>
      <c r="S5" s="23">
        <v>1.8982822399999999</v>
      </c>
      <c r="T5" s="23">
        <v>1.8559362500000001</v>
      </c>
      <c r="U5" s="23">
        <v>1.8601375068493151</v>
      </c>
      <c r="V5" s="23">
        <v>2.0221659753424661</v>
      </c>
      <c r="W5" s="33">
        <f>'[7]By company'!$AK$161/10^6</f>
        <v>2.157687594520548</v>
      </c>
      <c r="X5" s="33">
        <f>'[8]By company'!$AL$163/10^6</f>
        <v>2.1630136219178082</v>
      </c>
      <c r="Y5" s="33">
        <f>'[9]By company'!$AN$177/10^6</f>
        <v>2.2045906940386901</v>
      </c>
      <c r="Z5" s="33">
        <f>'[10]By company'!$AO$175/10^6</f>
        <v>2.6595395708522105</v>
      </c>
      <c r="AA5" s="33">
        <f>'[11]By company'!$AP$175/10^6</f>
        <v>2.6688661836283969</v>
      </c>
      <c r="AB5" s="34">
        <f>'[1]Historical Financials in USD'!AB5</f>
        <v>2.6458982384229173</v>
      </c>
      <c r="AC5" s="34">
        <f>'[12]By company'!$AS$207/10^6</f>
        <v>2.5281743660283835</v>
      </c>
      <c r="AD5" s="35">
        <f>'[13]By company'!$AT$179/10^6</f>
        <v>2.5673803761454876</v>
      </c>
      <c r="AE5" s="33">
        <f>'[14]By company'!$AU$185/10^6</f>
        <v>2.6012438064418326</v>
      </c>
      <c r="AF5" s="33">
        <f>J5-AC5-AD5-AE5</f>
        <v>2.6840030447979952</v>
      </c>
      <c r="AG5" s="33">
        <f>'[15]By company'!$AX$197/10^6</f>
        <v>2.659591722756026</v>
      </c>
      <c r="AH5" s="33">
        <f>'[12]By company'!$AY$207/10^6</f>
        <v>2.770971289842965</v>
      </c>
      <c r="AI5" s="36">
        <f>'[6]By company'!$AZ$215/10^6</f>
        <v>3.146663733642233</v>
      </c>
      <c r="AJ5" s="33">
        <f>Y5+Z5</f>
        <v>4.8641302648909006</v>
      </c>
      <c r="AK5" s="33">
        <f>AA5+AB5</f>
        <v>5.3147644220513142</v>
      </c>
      <c r="AL5" s="33">
        <f>AC5+AD5</f>
        <v>5.0955547421738707</v>
      </c>
      <c r="AM5" s="33">
        <f>AE5+AF5</f>
        <v>5.2852468512398278</v>
      </c>
      <c r="AN5" s="33">
        <f>AG5+AH5</f>
        <v>5.4305630125989914</v>
      </c>
      <c r="AO5" s="23">
        <f>SUM(AP5:AS5)</f>
        <v>11.641444880705375</v>
      </c>
      <c r="AP5" s="23">
        <f>'[2]By company'!AZ$191/10^6</f>
        <v>2.7061101730595971</v>
      </c>
      <c r="AQ5" s="23">
        <f>'[2]By company'!BA$191/10^6</f>
        <v>2.8440159377378489</v>
      </c>
      <c r="AR5" s="23">
        <f>'[2]By company'!BB$191/10^6</f>
        <v>3.0555451821467323</v>
      </c>
      <c r="AS5" s="23">
        <f>'[2]By company'!BC$191/10^6</f>
        <v>3.0357735877611978</v>
      </c>
      <c r="AU5" s="37"/>
      <c r="AV5" s="37"/>
      <c r="AW5" s="37"/>
      <c r="AX5" s="37"/>
      <c r="AY5" s="37"/>
      <c r="AZ5" s="37"/>
      <c r="BA5" s="37"/>
      <c r="BB5" s="37"/>
    </row>
    <row r="6" spans="1:54">
      <c r="A6" s="3" t="s">
        <v>43</v>
      </c>
      <c r="B6" s="2" t="s">
        <v>41</v>
      </c>
      <c r="C6" s="38">
        <v>3.1855030000000002</v>
      </c>
      <c r="D6" s="38">
        <v>4.3613119999999999</v>
      </c>
      <c r="E6" s="38">
        <v>5.2548760000000003</v>
      </c>
      <c r="F6" s="38">
        <v>5.8039160000000001</v>
      </c>
      <c r="G6" s="38">
        <f>SUM(Q6:T6)</f>
        <v>6.2494175399999996</v>
      </c>
      <c r="H6" s="38">
        <f>SUM(U6:X6)</f>
        <v>7.023597275263648</v>
      </c>
      <c r="I6" s="38">
        <f>'[4]By company'!$AR$345/10^6</f>
        <v>8.728926665510043</v>
      </c>
      <c r="J6" s="39">
        <f>'[5]By company'!$AW$377/10^6</f>
        <v>9.1032677084520284</v>
      </c>
      <c r="K6" s="38">
        <f>'[6]By company'!$BD$425/10^6</f>
        <v>9.0628853700065424</v>
      </c>
      <c r="L6" s="40">
        <f>'[6]By company'!$BC$425/10^6</f>
        <v>9.9069598280693416</v>
      </c>
      <c r="M6" s="38">
        <v>1.4233449847838788</v>
      </c>
      <c r="N6" s="38">
        <v>1.4457370687095275</v>
      </c>
      <c r="O6" s="38">
        <v>1.470999958875725</v>
      </c>
      <c r="P6" s="38">
        <v>1.4638338576308696</v>
      </c>
      <c r="Q6" s="38">
        <v>1.5054495400000001</v>
      </c>
      <c r="R6" s="38">
        <v>1.5868450000000001</v>
      </c>
      <c r="S6" s="38">
        <v>1.6325160000000001</v>
      </c>
      <c r="T6" s="38">
        <v>1.524607</v>
      </c>
      <c r="U6" s="38">
        <v>1.6267209389142077</v>
      </c>
      <c r="V6" s="38">
        <v>1.8145852072488726</v>
      </c>
      <c r="W6" s="41">
        <f>'[7]By company'!$AK$317/10^6</f>
        <v>1.8015288626199988</v>
      </c>
      <c r="X6" s="41">
        <f>'[8]By company'!$AL$321/10^6</f>
        <v>1.7807622664805691</v>
      </c>
      <c r="Y6" s="41">
        <f>'[9]By company'!$AN$349/10^6</f>
        <v>1.7647709200019872</v>
      </c>
      <c r="Z6" s="41">
        <f>'[10]By company'!$AO$345/10^6</f>
        <v>2.3193589555325862</v>
      </c>
      <c r="AA6" s="42">
        <f>'[11]By company'!$AP$345/10^6</f>
        <v>2.3795751199698389</v>
      </c>
      <c r="AB6" s="41">
        <f>'[1]Historical Financials in USD'!AB6</f>
        <v>2.2652216700056305</v>
      </c>
      <c r="AC6" s="41">
        <f>'[5]By company'!AS377/10^6</f>
        <v>2.1881375496729887</v>
      </c>
      <c r="AD6" s="41">
        <f>'[5]By company'!AT377/10^6</f>
        <v>2.2228976203174389</v>
      </c>
      <c r="AE6" s="41">
        <f>'[5]By company'!AU377/10^6</f>
        <v>2.3866285300104808</v>
      </c>
      <c r="AF6" s="41">
        <f>J6-AC6-AD6-AE6</f>
        <v>2.3056040084511196</v>
      </c>
      <c r="AG6" s="41">
        <f>'[15]By company'!$AX$389/10^6</f>
        <v>2.325123570352289</v>
      </c>
      <c r="AH6" s="41">
        <f>'[12]By company'!$AY$409/10^6</f>
        <v>2.5462493404533282</v>
      </c>
      <c r="AI6" s="43">
        <f>'[6]By company'!$AZ$425/10^6</f>
        <v>2.7299829088126062</v>
      </c>
      <c r="AJ6" s="41">
        <f>Y6+Z6</f>
        <v>4.0841298755345736</v>
      </c>
      <c r="AK6" s="41">
        <f>AA6+AB6</f>
        <v>4.6447967899754694</v>
      </c>
      <c r="AL6" s="41">
        <f>AC6+AD6</f>
        <v>4.4110351699904271</v>
      </c>
      <c r="AM6" s="41">
        <f>AE6+AF6</f>
        <v>4.6922325384616004</v>
      </c>
      <c r="AN6" s="41">
        <f>'[12]By company'!$AZ$409/10^6</f>
        <v>4.8713729108056167</v>
      </c>
      <c r="AO6" s="38">
        <f>'[2]By company'!$BD$377/10^6</f>
        <v>10.594492988020395</v>
      </c>
      <c r="AP6" s="38">
        <f>'[2]By company'!AZ$377/10^6</f>
        <v>2.4372960677354945</v>
      </c>
      <c r="AQ6" s="38">
        <f>'[2]By company'!BA$377/10^6</f>
        <v>2.5847219397466992</v>
      </c>
      <c r="AR6" s="38">
        <f>'[2]By company'!BB$377/10^6</f>
        <v>2.8273562907608416</v>
      </c>
      <c r="AS6" s="38">
        <f>'[2]By company'!BC$377/10^6</f>
        <v>2.7451186897773607</v>
      </c>
      <c r="AU6" s="37"/>
      <c r="AV6" s="37"/>
      <c r="AW6" s="37"/>
      <c r="AX6" s="37"/>
      <c r="AY6" s="37"/>
      <c r="AZ6" s="37"/>
      <c r="BA6" s="37"/>
      <c r="BB6" s="37"/>
    </row>
    <row r="7" spans="1:54" s="44" customFormat="1">
      <c r="A7" s="44" t="s">
        <v>44</v>
      </c>
      <c r="B7" s="45" t="s">
        <v>45</v>
      </c>
      <c r="C7" s="46">
        <f t="shared" ref="C7:AN7" si="0">C6/C5</f>
        <v>0.97689012390457763</v>
      </c>
      <c r="D7" s="46">
        <f t="shared" si="0"/>
        <v>0.85537015667569627</v>
      </c>
      <c r="E7" s="46">
        <f t="shared" si="0"/>
        <v>0.83661141823537533</v>
      </c>
      <c r="F7" s="47">
        <f t="shared" si="0"/>
        <v>0.85115298141764195</v>
      </c>
      <c r="G7" s="47">
        <f t="shared" si="0"/>
        <v>0.85450668354873471</v>
      </c>
      <c r="H7" s="47">
        <f t="shared" si="0"/>
        <v>0.85622251032436369</v>
      </c>
      <c r="I7" s="47">
        <f>I6/I5</f>
        <v>0.85755152538396595</v>
      </c>
      <c r="J7" s="48">
        <f>J6/J5</f>
        <v>0.87693302164909626</v>
      </c>
      <c r="K7" s="47">
        <f>K6/K5</f>
        <v>0.87625940860647411</v>
      </c>
      <c r="L7" s="49">
        <f>L6/L5</f>
        <v>0.87974049121637687</v>
      </c>
      <c r="M7" s="46">
        <f t="shared" si="0"/>
        <v>0.85165820101443324</v>
      </c>
      <c r="N7" s="46">
        <f t="shared" si="0"/>
        <v>0.85419927214748459</v>
      </c>
      <c r="O7" s="46">
        <f t="shared" si="0"/>
        <v>0.85901018078009639</v>
      </c>
      <c r="P7" s="46">
        <f t="shared" si="0"/>
        <v>0.83998898373525288</v>
      </c>
      <c r="Q7" s="46">
        <f t="shared" si="0"/>
        <v>0.88010335653557625</v>
      </c>
      <c r="R7" s="46">
        <f t="shared" si="0"/>
        <v>0.85834594157711908</v>
      </c>
      <c r="S7" s="46">
        <f t="shared" si="0"/>
        <v>0.85999645658592905</v>
      </c>
      <c r="T7" s="46">
        <f t="shared" si="0"/>
        <v>0.821475953174577</v>
      </c>
      <c r="U7" s="46">
        <f t="shared" si="0"/>
        <v>0.87451649833647704</v>
      </c>
      <c r="V7" s="46">
        <f t="shared" si="0"/>
        <v>0.89734731440210369</v>
      </c>
      <c r="W7" s="46">
        <f t="shared" si="0"/>
        <v>0.8349349865082345</v>
      </c>
      <c r="X7" s="46">
        <f t="shared" si="0"/>
        <v>0.82327834112375087</v>
      </c>
      <c r="Y7" s="46">
        <f t="shared" si="0"/>
        <v>0.80049821709490343</v>
      </c>
      <c r="Z7" s="46">
        <f t="shared" si="0"/>
        <v>0.87209041029210244</v>
      </c>
      <c r="AA7" s="46">
        <f t="shared" si="0"/>
        <v>0.89160525715633343</v>
      </c>
      <c r="AB7" s="50">
        <f t="shared" si="0"/>
        <v>0.85612577124500888</v>
      </c>
      <c r="AC7" s="50">
        <f t="shared" si="0"/>
        <v>0.86550104260032779</v>
      </c>
      <c r="AD7" s="46">
        <f t="shared" si="0"/>
        <v>0.86582324963267243</v>
      </c>
      <c r="AE7" s="46">
        <f t="shared" si="0"/>
        <v>0.91749513217489675</v>
      </c>
      <c r="AF7" s="46">
        <f>AF6/AF5</f>
        <v>0.85901691241361655</v>
      </c>
      <c r="AG7" s="46">
        <f t="shared" ref="AG7:AI7" si="1">AG6/AG5</f>
        <v>0.87424079059129367</v>
      </c>
      <c r="AH7" s="46">
        <f t="shared" si="1"/>
        <v>0.91890137937792482</v>
      </c>
      <c r="AI7" s="51">
        <f t="shared" si="1"/>
        <v>0.86758012291725795</v>
      </c>
      <c r="AJ7" s="46">
        <f t="shared" si="0"/>
        <v>0.83964237245323403</v>
      </c>
      <c r="AK7" s="46">
        <f t="shared" si="0"/>
        <v>0.87394217713656241</v>
      </c>
      <c r="AL7" s="46">
        <f t="shared" si="0"/>
        <v>0.86566338567262391</v>
      </c>
      <c r="AM7" s="46">
        <f t="shared" si="0"/>
        <v>0.8877981805827827</v>
      </c>
      <c r="AN7" s="46">
        <f t="shared" si="0"/>
        <v>0.89702907405805898</v>
      </c>
      <c r="AO7" s="47">
        <f>AO6/AO5</f>
        <v>0.91006684278338967</v>
      </c>
      <c r="AP7" s="47">
        <f t="shared" ref="AP7:AS7" si="2">AP6/AP5</f>
        <v>0.90066402026042625</v>
      </c>
      <c r="AQ7" s="47">
        <f t="shared" si="2"/>
        <v>0.9088282190860737</v>
      </c>
      <c r="AR7" s="47">
        <f t="shared" si="2"/>
        <v>0.92531974564828001</v>
      </c>
      <c r="AS7" s="47">
        <f t="shared" si="2"/>
        <v>0.90425672745964325</v>
      </c>
      <c r="AU7" s="52"/>
      <c r="AV7" s="52"/>
      <c r="AW7" s="52"/>
      <c r="AX7" s="52"/>
      <c r="AY7" s="52"/>
      <c r="AZ7" s="52"/>
      <c r="BA7" s="52"/>
      <c r="BB7" s="52"/>
    </row>
    <row r="8" spans="1:54">
      <c r="A8" s="3" t="s">
        <v>46</v>
      </c>
      <c r="B8" s="2" t="s">
        <v>47</v>
      </c>
      <c r="C8" s="30">
        <v>31.701000000000001</v>
      </c>
      <c r="D8" s="30">
        <v>30.496700000000001</v>
      </c>
      <c r="E8" s="30">
        <v>31.087</v>
      </c>
      <c r="F8" s="30">
        <v>30.729800000000001</v>
      </c>
      <c r="G8" s="30">
        <v>32.480800000000002</v>
      </c>
      <c r="H8" s="30">
        <v>34.286099999999998</v>
      </c>
      <c r="I8" s="30">
        <v>35.289706557377052</v>
      </c>
      <c r="J8" s="53">
        <f>'[5]By company'!$AW$2</f>
        <v>33.933399999999999</v>
      </c>
      <c r="K8" s="30">
        <f>'[6]By company'!$BD$2</f>
        <v>34.540999999999997</v>
      </c>
      <c r="L8" s="54">
        <f>'[6]By company'!$BC$2</f>
        <v>32.351199999999999</v>
      </c>
      <c r="M8" s="30">
        <v>29.805745161290321</v>
      </c>
      <c r="N8" s="30">
        <v>29.906706779661032</v>
      </c>
      <c r="O8" s="30">
        <v>31.478965079365075</v>
      </c>
      <c r="P8" s="30">
        <v>31.69132459016393</v>
      </c>
      <c r="Q8" s="30">
        <v>32.66654193548387</v>
      </c>
      <c r="R8" s="30">
        <v>32.45390508474577</v>
      </c>
      <c r="S8" s="30">
        <v>32.099451612903231</v>
      </c>
      <c r="T8" s="30">
        <v>32.702045161290329</v>
      </c>
      <c r="U8" s="30">
        <v>32.646173770491792</v>
      </c>
      <c r="V8" s="30">
        <v>33.287399999999998</v>
      </c>
      <c r="W8" s="30">
        <v>35.255120634920651</v>
      </c>
      <c r="X8" s="30">
        <v>35.83311129032257</v>
      </c>
      <c r="Y8" s="55">
        <v>35.646999999999998</v>
      </c>
      <c r="Z8" s="55">
        <f>'[13]Conso THB'!$D$1</f>
        <v>35.286499999999997</v>
      </c>
      <c r="AA8" s="55">
        <v>34.829500000000003</v>
      </c>
      <c r="AB8" s="56">
        <v>35.389843548387091</v>
      </c>
      <c r="AC8" s="56">
        <f>'[13]Conso THB'!$C$1</f>
        <v>35.106046774193558</v>
      </c>
      <c r="AD8" s="55">
        <f>'[13]Conso THB'!$B$1</f>
        <v>34.286299999999997</v>
      </c>
      <c r="AE8" s="55">
        <f>'[14]Conso THB'!$B$1</f>
        <v>33.373800000000003</v>
      </c>
      <c r="AF8" s="55">
        <f>'[5]By company'!$AV$3</f>
        <v>32.947000000000003</v>
      </c>
      <c r="AG8" s="55">
        <f>'[15]Conso THB'!$B$1</f>
        <v>31.542200000000001</v>
      </c>
      <c r="AH8" s="55">
        <f>'[12]By company'!$AY$3</f>
        <v>31.9468</v>
      </c>
      <c r="AI8" s="57">
        <f>'[6]By company'!$AZ$3</f>
        <v>32.975000000000001</v>
      </c>
      <c r="AJ8" s="55">
        <f>'[5]Conso THB'!$AC$1</f>
        <v>35.4758</v>
      </c>
      <c r="AK8" s="55">
        <v>35.109699999999997</v>
      </c>
      <c r="AL8" s="55">
        <f>'[5]Conso THB'!$AB$1</f>
        <v>34.7029</v>
      </c>
      <c r="AM8" s="55">
        <v>33.163899999999998</v>
      </c>
      <c r="AN8" s="55">
        <f>'[12]By company'!$AZ$2</f>
        <v>31.741199999999999</v>
      </c>
      <c r="AO8" s="58">
        <v>32.5</v>
      </c>
      <c r="AP8" s="30">
        <v>32.5</v>
      </c>
      <c r="AQ8" s="30">
        <v>32.5</v>
      </c>
      <c r="AR8" s="30">
        <v>32.5</v>
      </c>
      <c r="AS8" s="30">
        <v>32.5</v>
      </c>
    </row>
    <row r="9" spans="1:54">
      <c r="A9" s="3" t="str">
        <f>'[1]Historical Financials in USD'!A9</f>
        <v xml:space="preserve">Closing Exchange Rate </v>
      </c>
      <c r="B9" s="2" t="s">
        <v>47</v>
      </c>
      <c r="C9" s="30">
        <v>30.151299999999999</v>
      </c>
      <c r="D9" s="30">
        <v>31.691199999999998</v>
      </c>
      <c r="E9" s="30">
        <v>30.631599999999999</v>
      </c>
      <c r="F9" s="30">
        <v>32.813600000000001</v>
      </c>
      <c r="G9" s="30">
        <v>32.963000000000001</v>
      </c>
      <c r="H9" s="30">
        <v>36.0886</v>
      </c>
      <c r="I9" s="30">
        <v>35.8307</v>
      </c>
      <c r="J9" s="53">
        <f>'[5]By company'!$AW$4</f>
        <v>32.680900000000001</v>
      </c>
      <c r="K9" s="30">
        <f>'[6]By company'!$BD$4</f>
        <v>33.368400000000001</v>
      </c>
      <c r="L9" s="54">
        <f>'[6]By company'!$BC$4</f>
        <v>32.406599999999997</v>
      </c>
      <c r="M9" s="30">
        <v>29.308499999999999</v>
      </c>
      <c r="N9" s="30">
        <v>31.127099999999999</v>
      </c>
      <c r="O9" s="30">
        <v>31.390699999999999</v>
      </c>
      <c r="P9" s="30">
        <v>32.813600000000001</v>
      </c>
      <c r="Q9" s="30">
        <v>32.443199999999997</v>
      </c>
      <c r="R9" s="30">
        <v>32.454999999999998</v>
      </c>
      <c r="S9" s="30">
        <v>32.3733</v>
      </c>
      <c r="T9" s="30">
        <v>32.963000000000001</v>
      </c>
      <c r="U9" s="30">
        <v>32.555100000000003</v>
      </c>
      <c r="V9" s="30">
        <v>33.776800000000001</v>
      </c>
      <c r="W9" s="30">
        <v>36.369599999999998</v>
      </c>
      <c r="X9" s="30">
        <v>36.0886</v>
      </c>
      <c r="Y9" s="55">
        <v>35.239199999999997</v>
      </c>
      <c r="Z9" s="55">
        <f>'[13]Conso THB'!$D$2</f>
        <v>35.180199999999999</v>
      </c>
      <c r="AA9" s="55">
        <v>34.6999</v>
      </c>
      <c r="AB9" s="56">
        <v>35.8307</v>
      </c>
      <c r="AC9" s="56">
        <f>'[13]Conso THB'!$C$2</f>
        <v>34.450099999999999</v>
      </c>
      <c r="AD9" s="55">
        <f>'[13]Conso THB'!$B$2</f>
        <v>33.981400000000001</v>
      </c>
      <c r="AE9" s="55">
        <f>'[14]Conso THB'!$B$2</f>
        <v>33.368400000000001</v>
      </c>
      <c r="AF9" s="55">
        <f>J9</f>
        <v>32.680900000000001</v>
      </c>
      <c r="AG9" s="55">
        <f>'[15]Conso THB'!$B$2</f>
        <v>31.2318</v>
      </c>
      <c r="AH9" s="55">
        <f>'[12]By company'!$AY$4</f>
        <v>33.167200000000001</v>
      </c>
      <c r="AI9" s="57">
        <f>'[6]By company'!$AZ$4</f>
        <v>32.406599999999997</v>
      </c>
      <c r="AJ9" s="55">
        <f>'[5]Conso THB'!$AC$2</f>
        <v>35.180199999999999</v>
      </c>
      <c r="AK9" s="55">
        <f>'[5]Conso THB'!$H$2</f>
        <v>35.8307</v>
      </c>
      <c r="AL9" s="55">
        <f>'[5]Conso THB'!$AB$2</f>
        <v>33.981400000000001</v>
      </c>
      <c r="AM9" s="55">
        <f>'[5]Conso THB'!$G$2</f>
        <v>32.680900000000001</v>
      </c>
      <c r="AN9" s="55">
        <f>'[12]By company'!$AZ$4</f>
        <v>33.167200000000001</v>
      </c>
      <c r="AO9" s="58">
        <v>32.5</v>
      </c>
      <c r="AP9" s="30">
        <v>32.5</v>
      </c>
      <c r="AQ9" s="30">
        <v>32.5</v>
      </c>
      <c r="AR9" s="30">
        <v>32.5</v>
      </c>
      <c r="AS9" s="30">
        <v>32.5</v>
      </c>
      <c r="AZ9" s="37"/>
    </row>
    <row r="10" spans="1:54" s="22" customFormat="1" ht="25">
      <c r="A10" s="14" t="s">
        <v>48</v>
      </c>
      <c r="B10" s="15"/>
      <c r="C10" s="16"/>
      <c r="D10" s="16"/>
      <c r="E10" s="16"/>
      <c r="F10" s="16"/>
      <c r="G10" s="17"/>
      <c r="H10" s="17"/>
      <c r="I10" s="17"/>
      <c r="J10" s="59"/>
      <c r="K10" s="17"/>
      <c r="L10" s="60"/>
      <c r="M10" s="16"/>
      <c r="N10" s="16"/>
      <c r="O10" s="16"/>
      <c r="P10" s="16"/>
      <c r="Q10" s="16"/>
      <c r="R10" s="16"/>
      <c r="S10" s="16"/>
      <c r="T10" s="16"/>
      <c r="U10" s="20"/>
      <c r="V10" s="16"/>
      <c r="W10" s="16"/>
      <c r="X10" s="16"/>
      <c r="Y10" s="16"/>
      <c r="Z10" s="16"/>
      <c r="AA10" s="16"/>
      <c r="AB10" s="16"/>
      <c r="AC10" s="16"/>
      <c r="AD10" s="16"/>
      <c r="AE10" s="16"/>
      <c r="AF10" s="16"/>
      <c r="AG10" s="16"/>
      <c r="AH10" s="16"/>
      <c r="AI10" s="21"/>
      <c r="AJ10" s="16"/>
      <c r="AK10" s="16"/>
      <c r="AL10" s="16"/>
      <c r="AM10" s="16"/>
      <c r="AN10" s="16"/>
      <c r="AO10" s="17"/>
      <c r="AP10" s="17"/>
      <c r="AQ10" s="17"/>
      <c r="AR10" s="17"/>
      <c r="AS10" s="17"/>
    </row>
    <row r="11" spans="1:54">
      <c r="C11" s="61"/>
      <c r="D11" s="61"/>
      <c r="E11" s="61"/>
      <c r="F11" s="61"/>
      <c r="G11" s="61"/>
      <c r="H11" s="61"/>
      <c r="I11" s="61"/>
      <c r="J11" s="62"/>
      <c r="K11" s="61"/>
      <c r="L11" s="63"/>
      <c r="M11" s="64"/>
      <c r="N11" s="64"/>
      <c r="O11" s="64"/>
      <c r="P11" s="64"/>
      <c r="Q11" s="65"/>
      <c r="R11" s="66"/>
      <c r="S11" s="65"/>
      <c r="T11" s="65"/>
      <c r="U11" s="65"/>
      <c r="V11" s="66"/>
      <c r="W11" s="65"/>
      <c r="X11" s="65"/>
      <c r="Y11" s="65"/>
      <c r="Z11" s="66"/>
      <c r="AA11" s="64"/>
      <c r="AB11" s="67"/>
      <c r="AC11" s="67"/>
      <c r="AD11" s="65"/>
      <c r="AE11" s="65"/>
      <c r="AF11" s="65"/>
      <c r="AG11" s="65"/>
      <c r="AH11" s="65"/>
      <c r="AI11" s="68"/>
      <c r="AJ11" s="65"/>
      <c r="AK11" s="65"/>
      <c r="AL11" s="65"/>
      <c r="AM11" s="65"/>
      <c r="AN11" s="65"/>
      <c r="AO11" s="61"/>
      <c r="AP11" s="61"/>
      <c r="AQ11" s="61"/>
      <c r="AR11" s="61"/>
      <c r="AS11" s="61"/>
    </row>
    <row r="12" spans="1:54">
      <c r="A12" s="69" t="s">
        <v>49</v>
      </c>
      <c r="B12" s="70" t="s">
        <v>50</v>
      </c>
      <c r="C12" s="71">
        <f>'[1]Segment Analysis in THB'!B35</f>
        <v>96858</v>
      </c>
      <c r="D12" s="71">
        <f>'[1]Segment Analysis in THB'!C35</f>
        <v>186096</v>
      </c>
      <c r="E12" s="71">
        <f>'[1]Segment Analysis in THB'!D35</f>
        <v>210728.984</v>
      </c>
      <c r="F12" s="71">
        <f>'[1]Segment Analysis in THB'!E35</f>
        <v>229120.448</v>
      </c>
      <c r="G12" s="71">
        <f>'[1]Segment Analysis in THB'!F35</f>
        <v>243907.21766484791</v>
      </c>
      <c r="H12" s="71">
        <f>'[1]Segment Analysis in THB'!G35</f>
        <v>234697.94899999999</v>
      </c>
      <c r="I12" s="71">
        <f>'[1]Segment Analysis in THB'!H35</f>
        <v>254619.53899999999</v>
      </c>
      <c r="J12" s="72">
        <f>'[5]Conso THB'!$G$145</f>
        <v>286332.272</v>
      </c>
      <c r="K12" s="71">
        <f>'[6]Conso THB'!$K$145</f>
        <v>281205.07500000001</v>
      </c>
      <c r="L12" s="73">
        <f>'[6]Conso THB'!$J$145</f>
        <v>326151.65687900002</v>
      </c>
      <c r="M12" s="71">
        <f>'[1]Segment Analysis in THB'!L35</f>
        <v>55494</v>
      </c>
      <c r="N12" s="71">
        <f>'[1]Segment Analysis in THB'!M35</f>
        <v>56807.148000000001</v>
      </c>
      <c r="O12" s="71">
        <f>'[1]Segment Analysis in THB'!N35</f>
        <v>59181.069999999992</v>
      </c>
      <c r="P12" s="71">
        <f>'[1]Segment Analysis in THB'!O35</f>
        <v>57638.23000000001</v>
      </c>
      <c r="Q12" s="71">
        <f>'[1]Segment Analysis in THB'!P35</f>
        <v>61646.606</v>
      </c>
      <c r="R12" s="71">
        <f>'[1]Segment Analysis in THB'!Q35</f>
        <v>64029.859889935993</v>
      </c>
      <c r="S12" s="71">
        <f>'[1]Segment Analysis in THB'!R35</f>
        <v>63606.215110064019</v>
      </c>
      <c r="T12" s="71">
        <f>'[1]Segment Analysis in THB'!S35</f>
        <v>54624.536664847896</v>
      </c>
      <c r="U12" s="71">
        <f>'[1]Segment Analysis in THB'!T35</f>
        <v>53660.3648109368</v>
      </c>
      <c r="V12" s="71">
        <f>'[1]Segment Analysis in THB'!U35</f>
        <v>61225.241189063199</v>
      </c>
      <c r="W12" s="71">
        <f>'[1]Segment Analysis in THB'!V35</f>
        <v>62333.540304536982</v>
      </c>
      <c r="X12" s="71">
        <f>'[1]Segment Analysis in THB'!W35</f>
        <v>57478.802695463004</v>
      </c>
      <c r="Y12" s="71">
        <f>'[1]Segment Analysis in THB'!X35</f>
        <v>57164.231830578989</v>
      </c>
      <c r="Z12" s="71">
        <f>'[1]Segment Analysis in THB'!Y35</f>
        <v>66730.030342933402</v>
      </c>
      <c r="AA12" s="71">
        <f>'[1]Segment Analysis in THB'!Z35</f>
        <v>65435.834507806205</v>
      </c>
      <c r="AB12" s="74">
        <f>'[1]Segment Analysis in THB'!AA35</f>
        <v>65289.440000000002</v>
      </c>
      <c r="AC12" s="74">
        <f>'[1]Segment Analysis in THB'!AB35</f>
        <v>71650.278999999995</v>
      </c>
      <c r="AD12" s="71">
        <f>'[1]Segment Analysis in THB'!AC35</f>
        <v>71660.810000000012</v>
      </c>
      <c r="AE12" s="71">
        <f>'[1]Segment Analysis in THB'!AD35</f>
        <v>72604.546000000002</v>
      </c>
      <c r="AF12" s="71">
        <f>J12-AC12-AD12-AE12</f>
        <v>70416.637000000017</v>
      </c>
      <c r="AG12" s="71">
        <f>'[1]Segment Analysis in THB'!AF35</f>
        <v>76143.351999999999</v>
      </c>
      <c r="AH12" s="71">
        <f>'[1]Segment Analysis in THB'!AG35</f>
        <v>83590.938999999998</v>
      </c>
      <c r="AI12" s="75">
        <f>'[6]Conso THB'!$B$145</f>
        <v>96000.728879000002</v>
      </c>
      <c r="AJ12" s="76">
        <f t="shared" ref="AJ12" si="3">Y12+Z12</f>
        <v>123894.2621735124</v>
      </c>
      <c r="AK12" s="76">
        <f t="shared" ref="AK12" si="4">AA12+AB12</f>
        <v>130725.2745078062</v>
      </c>
      <c r="AL12" s="76">
        <f t="shared" ref="AL12" si="5">AC12+AD12</f>
        <v>143311.08900000001</v>
      </c>
      <c r="AM12" s="76">
        <f>AE12+AF12</f>
        <v>143021.18300000002</v>
      </c>
      <c r="AN12" s="76">
        <f>'[12]Conso THB'!$G$145</f>
        <v>159734.291</v>
      </c>
      <c r="AO12" s="76">
        <f>'[1]Historical Financials in USD'!AO12*'[1]Historical Financials in USD'!$AO$8</f>
        <v>355075.40668320091</v>
      </c>
      <c r="AP12" s="76">
        <f>'[1]Historical Financials in USD'!AP12*'[1]Historical Financials in USD'!$AP$8</f>
        <v>83349.399647570841</v>
      </c>
      <c r="AQ12" s="76">
        <f>'[1]Historical Financials in USD'!AQ12*'[1]Historical Financials in USD'!$AP$8</f>
        <v>88870.222856620734</v>
      </c>
      <c r="AR12" s="76">
        <f>'[1]Historical Financials in USD'!AR12*'[1]Historical Financials in USD'!$AP$8</f>
        <v>91320.531768314555</v>
      </c>
      <c r="AS12" s="76">
        <f>'[1]Historical Financials in USD'!AS12*'[1]Historical Financials in USD'!$AP$8</f>
        <v>91535.252410694753</v>
      </c>
    </row>
    <row r="13" spans="1:54" hidden="1" outlineLevel="1">
      <c r="C13" s="30"/>
      <c r="D13" s="30"/>
      <c r="E13" s="30"/>
      <c r="F13" s="30"/>
      <c r="G13" s="30"/>
      <c r="H13" s="30"/>
      <c r="I13" s="30"/>
      <c r="J13" s="53"/>
      <c r="K13" s="30"/>
      <c r="L13" s="54"/>
      <c r="M13" s="30"/>
      <c r="N13" s="30"/>
      <c r="O13" s="30"/>
      <c r="P13" s="30"/>
      <c r="Q13" s="30"/>
      <c r="R13" s="30"/>
      <c r="S13" s="30"/>
      <c r="T13" s="30"/>
      <c r="U13" s="30"/>
      <c r="V13" s="30"/>
      <c r="W13" s="30"/>
      <c r="X13" s="30"/>
      <c r="Y13" s="55"/>
      <c r="Z13" s="55"/>
      <c r="AA13" s="55"/>
      <c r="AB13" s="56"/>
      <c r="AC13" s="56"/>
      <c r="AD13" s="55"/>
      <c r="AE13" s="55"/>
      <c r="AF13" s="55"/>
      <c r="AG13" s="55"/>
      <c r="AH13" s="55"/>
      <c r="AI13" s="57"/>
      <c r="AJ13" s="55"/>
      <c r="AK13" s="55"/>
      <c r="AL13" s="55"/>
      <c r="AM13" s="55"/>
      <c r="AN13" s="55"/>
      <c r="AO13" s="30"/>
      <c r="AP13" s="30"/>
      <c r="AQ13" s="30"/>
      <c r="AR13" s="30"/>
      <c r="AS13" s="30"/>
    </row>
    <row r="14" spans="1:54" hidden="1" outlineLevel="1">
      <c r="C14" s="30"/>
      <c r="D14" s="30"/>
      <c r="E14" s="30"/>
      <c r="F14" s="30"/>
      <c r="G14" s="30"/>
      <c r="H14" s="30"/>
      <c r="I14" s="30"/>
      <c r="J14" s="53"/>
      <c r="K14" s="30"/>
      <c r="L14" s="54"/>
      <c r="M14" s="30"/>
      <c r="N14" s="30"/>
      <c r="O14" s="30"/>
      <c r="P14" s="30"/>
      <c r="Q14" s="30"/>
      <c r="R14" s="30"/>
      <c r="S14" s="30"/>
      <c r="T14" s="30"/>
      <c r="U14" s="30"/>
      <c r="V14" s="30"/>
      <c r="W14" s="30"/>
      <c r="X14" s="30"/>
      <c r="Y14" s="55"/>
      <c r="Z14" s="55"/>
      <c r="AA14" s="55"/>
      <c r="AB14" s="56"/>
      <c r="AC14" s="56"/>
      <c r="AD14" s="55"/>
      <c r="AE14" s="55"/>
      <c r="AF14" s="55"/>
      <c r="AG14" s="55"/>
      <c r="AH14" s="55"/>
      <c r="AI14" s="57"/>
      <c r="AJ14" s="55"/>
      <c r="AK14" s="55"/>
      <c r="AL14" s="55"/>
      <c r="AM14" s="55"/>
      <c r="AN14" s="55"/>
      <c r="AO14" s="30"/>
      <c r="AP14" s="30"/>
      <c r="AQ14" s="30"/>
      <c r="AR14" s="30"/>
      <c r="AS14" s="30"/>
    </row>
    <row r="15" spans="1:54" s="77" customFormat="1" collapsed="1">
      <c r="A15" s="69" t="s">
        <v>51</v>
      </c>
      <c r="B15" s="70" t="s">
        <v>50</v>
      </c>
      <c r="C15" s="71">
        <f>'[1]Segment Analysis in THB'!B53</f>
        <v>12598.892037187703</v>
      </c>
      <c r="D15" s="71">
        <f>'[1]Segment Analysis in THB'!C53</f>
        <v>16893.61615875503</v>
      </c>
      <c r="E15" s="71">
        <f>'[1]Segment Analysis in THB'!D53</f>
        <v>14341.036854706465</v>
      </c>
      <c r="F15" s="71">
        <f>'[1]Segment Analysis in THB'!E53</f>
        <v>14683.230933748007</v>
      </c>
      <c r="G15" s="71">
        <f>'[1]Segment Analysis in THB'!F53</f>
        <v>18458.275642770226</v>
      </c>
      <c r="H15" s="71">
        <f>'[1]Segment Analysis in THB'!G53</f>
        <v>21957.556401914964</v>
      </c>
      <c r="I15" s="71">
        <f>'[1]Segment Analysis in THB'!H28</f>
        <v>27365.670995187207</v>
      </c>
      <c r="J15" s="72">
        <f>'[5]Conso THB'!$G$153</f>
        <v>34077.45016858937</v>
      </c>
      <c r="K15" s="71">
        <f>'[6]Conso THB'!$K$153</f>
        <v>32893.152317001957</v>
      </c>
      <c r="L15" s="73">
        <f>'[6]Conso THB'!$J$153</f>
        <v>44566.970529255173</v>
      </c>
      <c r="M15" s="71">
        <f>'[1]Segment Analysis in THB'!L53</f>
        <v>2728.9290302383843</v>
      </c>
      <c r="N15" s="71">
        <f>'[1]Segment Analysis in THB'!M53</f>
        <v>3973.8986550615773</v>
      </c>
      <c r="O15" s="71">
        <f>'[1]Segment Analysis in THB'!N53</f>
        <v>3996.4319668739645</v>
      </c>
      <c r="P15" s="71">
        <f>'[1]Segment Analysis in THB'!O53</f>
        <v>3983.9712815740886</v>
      </c>
      <c r="Q15" s="71">
        <f>'[1]Segment Analysis in THB'!P53</f>
        <v>4564.7158750190174</v>
      </c>
      <c r="R15" s="71">
        <f>'[1]Segment Analysis in THB'!Q53</f>
        <v>4967.6911947234566</v>
      </c>
      <c r="S15" s="71">
        <f>'[1]Segment Analysis in THB'!R53</f>
        <v>4351.9445855158519</v>
      </c>
      <c r="T15" s="71">
        <f>'[1]Segment Analysis in THB'!S53</f>
        <v>4573.923987511891</v>
      </c>
      <c r="U15" s="71">
        <f>'[1]Segment Analysis in THB'!T53</f>
        <v>4760.9631841459059</v>
      </c>
      <c r="V15" s="71">
        <f>'[1]Segment Analysis in THB'!U53</f>
        <v>6212.132216600181</v>
      </c>
      <c r="W15" s="71">
        <f>'[1]Segment Analysis in THB'!V53</f>
        <v>5911.347079164846</v>
      </c>
      <c r="X15" s="71">
        <f>'[1]Segment Analysis in THB'!W53</f>
        <v>5073.1139220040222</v>
      </c>
      <c r="Y15" s="71">
        <f>'[1]Segment Analysis in THB'!X53</f>
        <v>4804.096332878582</v>
      </c>
      <c r="Z15" s="71">
        <f>'[1]Segment Analysis in THB'!Y53</f>
        <v>7749.5042689853317</v>
      </c>
      <c r="AA15" s="71">
        <f>'[1]Segment Analysis in THB'!Z53</f>
        <v>7560.9718045045393</v>
      </c>
      <c r="AB15" s="74">
        <f>'[1]Segment Analysis in THB'!AA28</f>
        <v>7251.0985888187515</v>
      </c>
      <c r="AC15" s="74">
        <f>'[1]Segment Analysis in THB'!AB28</f>
        <v>7681.4401338957323</v>
      </c>
      <c r="AD15" s="71">
        <f>'[1]Segment Analysis in THB'!AC28</f>
        <v>8188.6900193756355</v>
      </c>
      <c r="AE15" s="71">
        <f>'[1]Segment Analysis in THB'!AD28</f>
        <v>9771.9235752647492</v>
      </c>
      <c r="AF15" s="71">
        <f>J15-AC15-AD15-AE15</f>
        <v>8435.3964400532514</v>
      </c>
      <c r="AG15" s="71">
        <f>'[1]Segment Analysis in THB'!AF28</f>
        <v>10289.799532620993</v>
      </c>
      <c r="AH15" s="71">
        <f>'[12]Conso THB'!$B$153</f>
        <v>12394.367090379281</v>
      </c>
      <c r="AI15" s="75">
        <f>'[6]Conso THB'!$B$153</f>
        <v>13447.407466201623</v>
      </c>
      <c r="AJ15" s="71">
        <f>Y15+Z15</f>
        <v>12553.600601863913</v>
      </c>
      <c r="AK15" s="71">
        <f>AA15+AB15</f>
        <v>14812.070393323291</v>
      </c>
      <c r="AL15" s="71">
        <f>AC15+AD15</f>
        <v>15870.130153271368</v>
      </c>
      <c r="AM15" s="71">
        <f>AE15+AF15</f>
        <v>18207.320015318001</v>
      </c>
      <c r="AN15" s="71">
        <f>'[12]Conso THB'!$G$153</f>
        <v>22684.166623000274</v>
      </c>
      <c r="AO15" s="71">
        <f>'[1]Historical Financials in USD'!AO15*AO8</f>
        <v>42233.721239533508</v>
      </c>
      <c r="AP15" s="71">
        <f>'[1]Historical Financials in USD'!AP15*AP8</f>
        <v>10039.909639471196</v>
      </c>
      <c r="AQ15" s="71">
        <f>'[1]Historical Financials in USD'!AQ15*AQ8</f>
        <v>10608.885258197493</v>
      </c>
      <c r="AR15" s="71">
        <f>'[1]Historical Financials in USD'!AR15*AR8</f>
        <v>11171.966470386544</v>
      </c>
      <c r="AS15" s="71">
        <f>'[1]Historical Financials in USD'!AS15*AS8</f>
        <v>10412.959871478279</v>
      </c>
    </row>
    <row r="16" spans="1:54" s="78" customFormat="1">
      <c r="A16" s="78" t="s">
        <v>52</v>
      </c>
      <c r="B16" s="79" t="s">
        <v>50</v>
      </c>
      <c r="C16" s="80">
        <f>-'[16]Conso THB'!$EP$20</f>
        <v>-3471</v>
      </c>
      <c r="D16" s="80">
        <f>-'[16]Conso THB'!$CZ$20</f>
        <v>-4776</v>
      </c>
      <c r="E16" s="80">
        <f>-'[16]Conso THB'!$BM$20</f>
        <v>-6719.134</v>
      </c>
      <c r="F16" s="80">
        <f>-'[16]Conso THB'!$AC$20-'[8]Restate 2015'!$Q$14/10^3</f>
        <v>-6841.1541942066842</v>
      </c>
      <c r="G16" s="80">
        <f>-'[16]Conso THB'!$AB$20-'[8]Restate 2015'!$H$14/10^3</f>
        <v>-7898.0908924827836</v>
      </c>
      <c r="H16" s="80">
        <f>-'[8]Conso THB'!$G$20</f>
        <v>-9325.0059999999994</v>
      </c>
      <c r="I16" s="80">
        <f>-'[4]Conso THB'!$G$20</f>
        <v>-11061.434999999999</v>
      </c>
      <c r="J16" s="81">
        <f>-'[5]Conso THB'!$G$20</f>
        <v>-12108.697</v>
      </c>
      <c r="K16" s="80">
        <f>-'[6]Conso THB'!$K$20</f>
        <v>-11752.461233</v>
      </c>
      <c r="L16" s="82">
        <f>-'[6]Conso THB'!$J$20</f>
        <v>-13392.940350000001</v>
      </c>
      <c r="M16" s="80">
        <f>-'[16]Conso THB'!$BC$20</f>
        <v>-1723</v>
      </c>
      <c r="N16" s="80">
        <f>-'[16]Conso THB'!$AQ$20</f>
        <v>-1650.4990000000003</v>
      </c>
      <c r="O16" s="80">
        <f>-'[16]Conso THB'!$AH$20</f>
        <v>-1796.0149999999999</v>
      </c>
      <c r="P16" s="80">
        <f>-'[16]Conso THB'!$Y$20</f>
        <v>-1881.6859999999997</v>
      </c>
      <c r="Q16" s="80">
        <f>-'[16]Conso THB'!$P$20-'[13]Restate 2015'!$B$14/1000</f>
        <v>-1868.6755188157856</v>
      </c>
      <c r="R16" s="80">
        <f>-'[16]Conso THB'!$D$20-'[13]Restate 2015'!$C$14/1000</f>
        <v>-1995.1601315485984</v>
      </c>
      <c r="S16" s="80">
        <f>-'[16]Conso THB'!$X$20-'[13]Restate 2015'!$E$14/1000</f>
        <v>-2035.2067541215606</v>
      </c>
      <c r="T16" s="80">
        <f>-'[16]Conso THB'!$O$20-'[13]Restate 2015'!$G$14/1000</f>
        <v>-1999.048487996839</v>
      </c>
      <c r="U16" s="80">
        <f>-'[9]Conso THB'!$D$20</f>
        <v>-2058.8585335106204</v>
      </c>
      <c r="V16" s="80">
        <f>-'[11]Conso THB'!$P$20</f>
        <v>-2360.9214664893798</v>
      </c>
      <c r="W16" s="80">
        <f>-'[11]Conso THB'!$D$20</f>
        <v>-2398.123</v>
      </c>
      <c r="X16" s="80">
        <f>H16-U16-V16-W16</f>
        <v>-2507.1029999999996</v>
      </c>
      <c r="Y16" s="80">
        <f>-'[9]Conso THB'!$B$20</f>
        <v>-2342.018</v>
      </c>
      <c r="Z16" s="80">
        <f>-'[10]Conso THB'!$B$20</f>
        <v>-2945.6260000000002</v>
      </c>
      <c r="AA16" s="80">
        <f>-'[11]Conso THB'!$B$20</f>
        <v>-2837.0637669999996</v>
      </c>
      <c r="AB16" s="80">
        <f>I16-Y16-Z16-AA16</f>
        <v>-2936.7272329999996</v>
      </c>
      <c r="AC16" s="80">
        <f>-'[17]Conso THB'!$B$20</f>
        <v>-2809.0079999999998</v>
      </c>
      <c r="AD16" s="80">
        <f>-'[13]Conso THB'!$B$20</f>
        <v>-2874.5037870000006</v>
      </c>
      <c r="AE16" s="80">
        <f>-'[14]Conso THB'!$B$20</f>
        <v>-3132.222213</v>
      </c>
      <c r="AF16" s="80">
        <f>J16-AC16-AD16-AE16</f>
        <v>-3292.9629999999997</v>
      </c>
      <c r="AG16" s="80">
        <f>-'[15]Conso THB'!$B$20</f>
        <v>-3050.6260000000002</v>
      </c>
      <c r="AH16" s="80">
        <f>-'[12]Conso THB'!$B$20</f>
        <v>-3218.406223</v>
      </c>
      <c r="AI16" s="83">
        <f>-'[6]Conso THB'!$B$20</f>
        <v>-3830.945126999999</v>
      </c>
      <c r="AJ16" s="80">
        <f t="shared" ref="AJ16" si="6">Y16+Z16</f>
        <v>-5287.6440000000002</v>
      </c>
      <c r="AK16" s="80">
        <f t="shared" ref="AK16" si="7">AA16+AB16</f>
        <v>-5773.7909999999993</v>
      </c>
      <c r="AL16" s="80">
        <f t="shared" ref="AL16" si="8">AC16+AD16</f>
        <v>-5683.5117870000004</v>
      </c>
      <c r="AM16" s="80">
        <f>AE16+AF16</f>
        <v>-6425.1852129999997</v>
      </c>
      <c r="AN16" s="80">
        <f>-'[12]Conso THB'!$G$20</f>
        <v>-6269.0322230000002</v>
      </c>
      <c r="AO16" s="80">
        <f>'[1]Historical Financials in USD'!AO16*AO8</f>
        <v>-12505.947628409556</v>
      </c>
      <c r="AP16" s="80">
        <f>'[1]Historical Financials in USD'!AP16*AP8</f>
        <v>-2946.6169276616906</v>
      </c>
      <c r="AQ16" s="80">
        <f>'[1]Historical Financials in USD'!AQ16*AQ8</f>
        <v>-3099.7738751577376</v>
      </c>
      <c r="AR16" s="80">
        <f>'[1]Historical Financials in USD'!AR16*AR8</f>
        <v>-3204.4293120499783</v>
      </c>
      <c r="AS16" s="80">
        <f>'[1]Historical Financials in USD'!AS16*AS8</f>
        <v>-3255.1275135401493</v>
      </c>
    </row>
    <row r="17" spans="1:48" s="77" customFormat="1">
      <c r="A17" s="69" t="s">
        <v>53</v>
      </c>
      <c r="B17" s="70" t="s">
        <v>50</v>
      </c>
      <c r="C17" s="71">
        <f t="shared" ref="C17:I17" si="9">C15+C16</f>
        <v>9127.892037187703</v>
      </c>
      <c r="D17" s="71">
        <f t="shared" si="9"/>
        <v>12117.61615875503</v>
      </c>
      <c r="E17" s="71">
        <f t="shared" si="9"/>
        <v>7621.9028547064645</v>
      </c>
      <c r="F17" s="71">
        <f t="shared" si="9"/>
        <v>7842.0767395413231</v>
      </c>
      <c r="G17" s="71">
        <f t="shared" si="9"/>
        <v>10560.184750287443</v>
      </c>
      <c r="H17" s="71">
        <f t="shared" si="9"/>
        <v>12632.550401914965</v>
      </c>
      <c r="I17" s="71">
        <f t="shared" si="9"/>
        <v>16304.235995187208</v>
      </c>
      <c r="J17" s="72">
        <f>J15+J16</f>
        <v>21968.75316858937</v>
      </c>
      <c r="K17" s="71">
        <f>K15+K16</f>
        <v>21140.691084001955</v>
      </c>
      <c r="L17" s="73">
        <f>L15+L16</f>
        <v>31174.030179255173</v>
      </c>
      <c r="M17" s="71">
        <f t="shared" ref="M17:AE17" si="10">M15+M16</f>
        <v>1005.9290302383843</v>
      </c>
      <c r="N17" s="71">
        <f t="shared" si="10"/>
        <v>2323.3996550615771</v>
      </c>
      <c r="O17" s="71">
        <f t="shared" si="10"/>
        <v>2200.4169668739646</v>
      </c>
      <c r="P17" s="71">
        <f t="shared" si="10"/>
        <v>2102.2852815740889</v>
      </c>
      <c r="Q17" s="71">
        <f t="shared" si="10"/>
        <v>2696.0403562032316</v>
      </c>
      <c r="R17" s="71">
        <f t="shared" si="10"/>
        <v>2972.531063174858</v>
      </c>
      <c r="S17" s="71">
        <f t="shared" si="10"/>
        <v>2316.7378313942913</v>
      </c>
      <c r="T17" s="71">
        <f t="shared" si="10"/>
        <v>2574.8754995150521</v>
      </c>
      <c r="U17" s="71">
        <f t="shared" si="10"/>
        <v>2702.1046506352855</v>
      </c>
      <c r="V17" s="71">
        <f t="shared" si="10"/>
        <v>3851.2107501108012</v>
      </c>
      <c r="W17" s="71">
        <f t="shared" si="10"/>
        <v>3513.224079164846</v>
      </c>
      <c r="X17" s="71">
        <f t="shared" si="10"/>
        <v>2566.0109220040226</v>
      </c>
      <c r="Y17" s="71">
        <f t="shared" si="10"/>
        <v>2462.0783328785819</v>
      </c>
      <c r="Z17" s="71">
        <f t="shared" si="10"/>
        <v>4803.8782689853315</v>
      </c>
      <c r="AA17" s="71">
        <f t="shared" si="10"/>
        <v>4723.9080375045396</v>
      </c>
      <c r="AB17" s="74">
        <f t="shared" si="10"/>
        <v>4314.3713558187519</v>
      </c>
      <c r="AC17" s="74">
        <f t="shared" si="10"/>
        <v>4872.4321338957325</v>
      </c>
      <c r="AD17" s="71">
        <f t="shared" si="10"/>
        <v>5314.186232375635</v>
      </c>
      <c r="AE17" s="71">
        <f t="shared" si="10"/>
        <v>6639.7013622647492</v>
      </c>
      <c r="AF17" s="71">
        <f>AF15+AF16</f>
        <v>5142.4334400532516</v>
      </c>
      <c r="AG17" s="71">
        <f t="shared" ref="AG17" si="11">AG15+AG16</f>
        <v>7239.1735326209928</v>
      </c>
      <c r="AH17" s="71">
        <f>AH15+AH16</f>
        <v>9175.9608673792809</v>
      </c>
      <c r="AI17" s="75">
        <f>AI15+AI16</f>
        <v>9616.4623392016238</v>
      </c>
      <c r="AJ17" s="71">
        <f>AJ15+AJ16</f>
        <v>7265.9566018639125</v>
      </c>
      <c r="AK17" s="71">
        <f t="shared" ref="AK17:AM17" si="12">AK15+AK16</f>
        <v>9038.2793933232915</v>
      </c>
      <c r="AL17" s="71">
        <f t="shared" si="12"/>
        <v>10186.618366271367</v>
      </c>
      <c r="AM17" s="71">
        <f t="shared" si="12"/>
        <v>11782.134802318</v>
      </c>
      <c r="AN17" s="71">
        <f>AN15+AN16</f>
        <v>16415.134400000272</v>
      </c>
      <c r="AO17" s="71">
        <f>AO15+AO16</f>
        <v>29727.77361112395</v>
      </c>
      <c r="AP17" s="71">
        <f t="shared" ref="AP17:AS17" si="13">AP15+AP16</f>
        <v>7093.2927118095049</v>
      </c>
      <c r="AQ17" s="71">
        <f t="shared" si="13"/>
        <v>7509.1113830397553</v>
      </c>
      <c r="AR17" s="71">
        <f t="shared" si="13"/>
        <v>7967.537158336565</v>
      </c>
      <c r="AS17" s="71">
        <f t="shared" si="13"/>
        <v>7157.8323579381295</v>
      </c>
    </row>
    <row r="18" spans="1:48" s="78" customFormat="1">
      <c r="A18" s="78" t="s">
        <v>54</v>
      </c>
      <c r="B18" s="79" t="s">
        <v>50</v>
      </c>
      <c r="C18" s="84">
        <f>-'[16]Conso THB'!$EP$25+'[16]Conso THB'!$EP$24</f>
        <v>-1296</v>
      </c>
      <c r="D18" s="84">
        <f>-'[16]Conso THB'!$CZ$25+'[16]Conso THB'!$CZ$24</f>
        <v>-1883</v>
      </c>
      <c r="E18" s="84">
        <f>-'[16]Conso THB'!$BM$25+'[16]Conso THB'!$BM$24</f>
        <v>-3174.52</v>
      </c>
      <c r="F18" s="84">
        <f>-'[16]Conso THB'!$AC$25+'[16]Conso THB'!$AC$24</f>
        <v>-3627.252</v>
      </c>
      <c r="G18" s="84">
        <f>-'[16]Conso THB'!$AB$25+'[16]Conso THB'!$AB$24</f>
        <v>-3480.7125652115283</v>
      </c>
      <c r="H18" s="84">
        <f>-'[8]Conso THB'!$G$25+'[8]Conso THB'!$G$24</f>
        <v>-3580.3270000000002</v>
      </c>
      <c r="I18" s="84">
        <f>-'[4]Conso THB'!$G$25+'[4]Conso THB'!$G$24</f>
        <v>-4097.96</v>
      </c>
      <c r="J18" s="85">
        <f>-'[5]Conso THB'!$G$25+'[5]Conso THB'!$G$24</f>
        <v>-3762.0390000000002</v>
      </c>
      <c r="K18" s="84">
        <f>'[6]Conso THB'!$K$24</f>
        <v>-3931.8950000000004</v>
      </c>
      <c r="L18" s="86">
        <f>'[6]Conso THB'!$J$24</f>
        <v>-3528.7729999999997</v>
      </c>
      <c r="M18" s="84">
        <f>-'[16]Conso THB'!$BC$25+'[16]Conso THB'!$BC$24</f>
        <v>-808</v>
      </c>
      <c r="N18" s="84">
        <f>-'[16]Conso THB'!$AQ$25+'[16]Conso THB'!$AQ$24</f>
        <v>-890.20799999999997</v>
      </c>
      <c r="O18" s="84">
        <f>-'[16]Conso THB'!$AH$25+'[16]Conso THB'!$AH$24</f>
        <v>-894.39800000000014</v>
      </c>
      <c r="P18" s="84">
        <f>-'[16]Conso THB'!$Y$25+'[16]Conso THB'!$Y$24</f>
        <v>-1034.646</v>
      </c>
      <c r="Q18" s="84">
        <f>-'[16]Conso THB'!$P$25+'[16]Conso THB'!$P$24</f>
        <v>-855.54600000000005</v>
      </c>
      <c r="R18" s="84">
        <f>-'[16]Conso THB'!$D$25+'[16]Conso THB'!$D$24</f>
        <v>-906.56</v>
      </c>
      <c r="S18" s="84">
        <f>-'[16]Conso THB'!$X$25+'[16]Conso THB'!$X$24</f>
        <v>-891.04800000000012</v>
      </c>
      <c r="T18" s="84">
        <f>-'[16]Conso THB'!$O$25+'[16]Conso THB'!$O$24</f>
        <v>-827.55856521152816</v>
      </c>
      <c r="U18" s="84">
        <f>-'[16]Conso THB'!$C$25+'[16]Conso THB'!$C$24</f>
        <v>-816.24099999999999</v>
      </c>
      <c r="V18" s="84">
        <f>-'[16]Conso THB'!$B$25+'[16]Conso THB'!$B$24</f>
        <v>-892.27700000000016</v>
      </c>
      <c r="W18" s="84">
        <f>-'[7]Conso THB'!$B$25+'[7]Conso THB'!$B$24</f>
        <v>-904.83296968436878</v>
      </c>
      <c r="X18" s="87">
        <f>-'[8]Conso THB'!$B$25+'[8]Conso THB'!$B$24</f>
        <v>-966.97603031563108</v>
      </c>
      <c r="Y18" s="87">
        <f>-('[9]Conso THB'!$B$25-'[9]Conso THB'!$B$24)</f>
        <v>-946.87699999999995</v>
      </c>
      <c r="Z18" s="87">
        <f>-('[10]Conso THB'!$B$25-'[10]Conso THB'!$B$24)</f>
        <v>-1076.7414327167448</v>
      </c>
      <c r="AA18" s="87">
        <f>-('[11]Conso THB'!$B$25-'[11]Conso THB'!$B$24)</f>
        <v>-1062.553567283255</v>
      </c>
      <c r="AB18" s="87">
        <f t="shared" ref="AB18:AB25" si="14">I18-Y18-Z18-AA18</f>
        <v>-1011.7880000000002</v>
      </c>
      <c r="AC18" s="87">
        <f>-('[17]Conso THB'!$B$25-'[17]Conso THB'!$B$24)</f>
        <v>-985.45999999999992</v>
      </c>
      <c r="AD18" s="87">
        <f>-('[13]Conso THB'!$B$25-'[13]Conso THB'!$B$24)</f>
        <v>-981.21041957443924</v>
      </c>
      <c r="AE18" s="87">
        <f>-'[14]Conso THB'!$B$25+'[14]Conso THB'!$B$24</f>
        <v>-953.43658042556103</v>
      </c>
      <c r="AF18" s="87">
        <f>J18-AC18-AD18-AE18</f>
        <v>-841.93200000000002</v>
      </c>
      <c r="AG18" s="87">
        <f>-'[15]Conso THB'!$B$25+'[15]Conso THB'!$B$24</f>
        <v>-854.12900000000002</v>
      </c>
      <c r="AH18" s="87">
        <f>'[12]Conso THB'!$B$24-'[12]Conso THB'!$B$25</f>
        <v>-796.34699999999998</v>
      </c>
      <c r="AI18" s="88">
        <f>'[6]Conso THB'!$B$24</f>
        <v>-1036.365</v>
      </c>
      <c r="AJ18" s="87">
        <f t="shared" ref="AJ18:AJ19" si="15">Y18+Z18</f>
        <v>-2023.6184327167448</v>
      </c>
      <c r="AK18" s="87">
        <f t="shared" ref="AK18:AK19" si="16">AA18+AB18</f>
        <v>-2074.3415672832552</v>
      </c>
      <c r="AL18" s="87">
        <f t="shared" ref="AL18:AL19" si="17">AC18+AD18</f>
        <v>-1966.6704195744392</v>
      </c>
      <c r="AM18" s="87">
        <f t="shared" ref="AM18:AM19" si="18">AE18+AF18</f>
        <v>-1795.368580425561</v>
      </c>
      <c r="AN18" s="87">
        <f>'[12]Conso THB'!$G$24-'[12]Conso THB'!$G$25</f>
        <v>-1650.4760000000001</v>
      </c>
      <c r="AO18" s="84">
        <f>'[1]Historical Financials in USD'!AO18*AO8</f>
        <v>-4374.1660196881476</v>
      </c>
      <c r="AP18" s="84">
        <f>'[1]Historical Financials in USD'!AP18*AP8</f>
        <v>0</v>
      </c>
      <c r="AQ18" s="84">
        <f>'[1]Historical Financials in USD'!AQ18*AQ8</f>
        <v>0</v>
      </c>
      <c r="AR18" s="84">
        <f>'[1]Historical Financials in USD'!AR18*AR8</f>
        <v>0</v>
      </c>
      <c r="AS18" s="84">
        <f>'[1]Historical Financials in USD'!AS18*AS8</f>
        <v>0</v>
      </c>
    </row>
    <row r="19" spans="1:48" s="78" customFormat="1">
      <c r="A19" s="78" t="s">
        <v>55</v>
      </c>
      <c r="B19" s="79" t="s">
        <v>50</v>
      </c>
      <c r="C19" s="80">
        <f>'[16]Conso THB'!$EP$22</f>
        <v>0</v>
      </c>
      <c r="D19" s="80">
        <f>'[16]Conso THB'!$CZ$22</f>
        <v>-303</v>
      </c>
      <c r="E19" s="80">
        <f>'[16]Conso THB'!$BM$22</f>
        <v>-889.11</v>
      </c>
      <c r="F19" s="80">
        <f>'[16]Conso THB'!$AC$22</f>
        <v>-740.61799999999994</v>
      </c>
      <c r="G19" s="80">
        <f>'[16]Conso THB'!$AB$22</f>
        <v>-936.66100000000006</v>
      </c>
      <c r="H19" s="80">
        <f>'[8]Conso THB'!$G$22</f>
        <v>-396.33799999999997</v>
      </c>
      <c r="I19" s="80">
        <f>'[4]Conso THB'!$G$22</f>
        <v>-173.07599999999999</v>
      </c>
      <c r="J19" s="81">
        <f>'[5]Conso THB'!$G$22</f>
        <v>28.405000000000001</v>
      </c>
      <c r="K19" s="80">
        <f>'[6]Conso THB'!$K$22</f>
        <v>24.467000000000013</v>
      </c>
      <c r="L19" s="82">
        <f>'[6]Conso THB'!$J$22</f>
        <v>598.64712799999995</v>
      </c>
      <c r="M19" s="80">
        <f>'[16]Conso THB'!$BC$22</f>
        <v>-177</v>
      </c>
      <c r="N19" s="80">
        <f>'[16]Conso THB'!$AQ$22</f>
        <v>-79.262999999999977</v>
      </c>
      <c r="O19" s="80">
        <f>'[16]Conso THB'!$AH$22</f>
        <v>-205.91300000000001</v>
      </c>
      <c r="P19" s="80">
        <f>'[16]Conso THB'!$Y$22</f>
        <v>-278.44199999999995</v>
      </c>
      <c r="Q19" s="80">
        <f>'[16]Conso THB'!$P$22</f>
        <v>-235.727</v>
      </c>
      <c r="R19" s="80">
        <f>'[16]Conso THB'!$D$22</f>
        <v>-203.97099999999998</v>
      </c>
      <c r="S19" s="80">
        <f>'[16]Conso THB'!$X$22</f>
        <v>-131.61800000000005</v>
      </c>
      <c r="T19" s="80">
        <f>'[16]Conso THB'!$O$22</f>
        <v>-365.34500000000003</v>
      </c>
      <c r="U19" s="80">
        <f>'[16]Conso THB'!$C$22</f>
        <v>-91.778000000000006</v>
      </c>
      <c r="V19" s="80">
        <f>'[16]Conso THB'!$B$22</f>
        <v>-31.884</v>
      </c>
      <c r="W19" s="80">
        <f>'[7]Conso THB'!$B$22</f>
        <v>-124.28400000000001</v>
      </c>
      <c r="X19" s="80">
        <f>'[8]Conso THB'!$B$22</f>
        <v>-148.39199999999997</v>
      </c>
      <c r="Y19" s="80">
        <f>'[9]Conso THB'!$B$22</f>
        <v>-25.888999999999999</v>
      </c>
      <c r="Z19" s="80">
        <f>'[10]Conso THB'!$B$22</f>
        <v>-44.401466595070929</v>
      </c>
      <c r="AA19" s="80">
        <f>'[11]Conso THB'!$B$22</f>
        <v>-54.186533404929079</v>
      </c>
      <c r="AB19" s="80">
        <f t="shared" si="14"/>
        <v>-48.598999999999975</v>
      </c>
      <c r="AC19" s="80">
        <f>'[17]Conso THB'!$B$22</f>
        <v>146.482</v>
      </c>
      <c r="AD19" s="80">
        <f>'[13]Conso THB'!$B$22</f>
        <v>-120.08924834169301</v>
      </c>
      <c r="AE19" s="80">
        <f>'[14]Conso THB'!$B$22</f>
        <v>46.673248341693004</v>
      </c>
      <c r="AF19" s="80">
        <f>J19-AC19-AD19-AE19</f>
        <v>-44.660999999999994</v>
      </c>
      <c r="AG19" s="80">
        <f>'[15]Conso THB'!$B$22</f>
        <v>-42.195999999999998</v>
      </c>
      <c r="AH19" s="80">
        <f>'[12]Conso THB'!$B$22</f>
        <v>206.36051499999999</v>
      </c>
      <c r="AI19" s="83">
        <f>'[6]Conso THB'!$B$22</f>
        <v>479.14361300000002</v>
      </c>
      <c r="AJ19" s="80">
        <f t="shared" si="15"/>
        <v>-70.290466595070924</v>
      </c>
      <c r="AK19" s="80">
        <f t="shared" si="16"/>
        <v>-102.78553340492905</v>
      </c>
      <c r="AL19" s="80">
        <f t="shared" si="17"/>
        <v>26.392751658306992</v>
      </c>
      <c r="AM19" s="80">
        <f t="shared" si="18"/>
        <v>2.0122483416930095</v>
      </c>
      <c r="AN19" s="80">
        <f>'[12]Conso THB'!$G$22</f>
        <v>164.16451499999999</v>
      </c>
      <c r="AO19" s="80">
        <f>'[1]Historical Financials in USD'!AO19*AO8</f>
        <v>26.005280135414729</v>
      </c>
      <c r="AP19" s="80">
        <f>'[1]Historical Financials in USD'!AP19*AP9</f>
        <v>0</v>
      </c>
      <c r="AQ19" s="80">
        <f>'[1]Historical Financials in USD'!AQ19*AQ9</f>
        <v>0</v>
      </c>
      <c r="AR19" s="80">
        <f>'[1]Historical Financials in USD'!AR19*AR9</f>
        <v>0</v>
      </c>
      <c r="AS19" s="80">
        <f>'[1]Historical Financials in USD'!AS19*AS9</f>
        <v>0</v>
      </c>
    </row>
    <row r="20" spans="1:48" s="77" customFormat="1">
      <c r="A20" s="69" t="s">
        <v>56</v>
      </c>
      <c r="B20" s="70" t="s">
        <v>50</v>
      </c>
      <c r="C20" s="71">
        <f t="shared" ref="C20:K20" si="19">C17+C18+C19</f>
        <v>7831.892037187703</v>
      </c>
      <c r="D20" s="71">
        <f t="shared" si="19"/>
        <v>9931.6161587550305</v>
      </c>
      <c r="E20" s="71">
        <f t="shared" si="19"/>
        <v>3558.2728547064639</v>
      </c>
      <c r="F20" s="71">
        <f t="shared" si="19"/>
        <v>3474.2067395413237</v>
      </c>
      <c r="G20" s="71">
        <f t="shared" si="19"/>
        <v>6142.8111850759142</v>
      </c>
      <c r="H20" s="71">
        <f t="shared" si="19"/>
        <v>8655.8854019149658</v>
      </c>
      <c r="I20" s="71">
        <f t="shared" si="19"/>
        <v>12033.199995187208</v>
      </c>
      <c r="J20" s="72">
        <f t="shared" si="19"/>
        <v>18235.119168589368</v>
      </c>
      <c r="K20" s="71">
        <f t="shared" si="19"/>
        <v>17233.263084001956</v>
      </c>
      <c r="L20" s="73">
        <f>L17+L18+L19</f>
        <v>28243.904307255172</v>
      </c>
      <c r="M20" s="71">
        <f t="shared" ref="M20:W20" si="20">M17+M18+M19</f>
        <v>20.929030238384257</v>
      </c>
      <c r="N20" s="71">
        <f t="shared" si="20"/>
        <v>1353.928655061577</v>
      </c>
      <c r="O20" s="71">
        <f t="shared" si="20"/>
        <v>1100.1059668739645</v>
      </c>
      <c r="P20" s="71">
        <f t="shared" si="20"/>
        <v>789.19728157408895</v>
      </c>
      <c r="Q20" s="71">
        <f t="shared" si="20"/>
        <v>1604.7673562032314</v>
      </c>
      <c r="R20" s="71">
        <f t="shared" si="20"/>
        <v>1862.000063174858</v>
      </c>
      <c r="S20" s="71">
        <f t="shared" si="20"/>
        <v>1294.0718313942912</v>
      </c>
      <c r="T20" s="71">
        <f t="shared" si="20"/>
        <v>1381.9719343035238</v>
      </c>
      <c r="U20" s="71">
        <f t="shared" si="20"/>
        <v>1794.0856506352854</v>
      </c>
      <c r="V20" s="71">
        <f t="shared" si="20"/>
        <v>2927.0497501108011</v>
      </c>
      <c r="W20" s="71">
        <f t="shared" si="20"/>
        <v>2484.107109480477</v>
      </c>
      <c r="X20" s="71">
        <f>X17+X18+X19</f>
        <v>1450.6428916883915</v>
      </c>
      <c r="Y20" s="71">
        <f t="shared" ref="Y20:AE20" si="21">Y17+Y18+Y19</f>
        <v>1489.3123328785821</v>
      </c>
      <c r="Z20" s="71">
        <f t="shared" si="21"/>
        <v>3682.7353696735158</v>
      </c>
      <c r="AA20" s="71">
        <f t="shared" si="21"/>
        <v>3607.1679368163559</v>
      </c>
      <c r="AB20" s="74">
        <f t="shared" si="21"/>
        <v>3253.9843558187513</v>
      </c>
      <c r="AC20" s="74">
        <f t="shared" si="21"/>
        <v>4033.4541338957324</v>
      </c>
      <c r="AD20" s="71">
        <f t="shared" si="21"/>
        <v>4212.8865644595026</v>
      </c>
      <c r="AE20" s="71">
        <f t="shared" si="21"/>
        <v>5732.9380301808806</v>
      </c>
      <c r="AF20" s="71">
        <f>AF17+AF18+AF19</f>
        <v>4255.8404400532518</v>
      </c>
      <c r="AG20" s="71">
        <f t="shared" ref="AG20:AN20" si="22">AG17+AG18+AG19</f>
        <v>6342.848532620993</v>
      </c>
      <c r="AH20" s="71">
        <f t="shared" si="22"/>
        <v>8585.9743823792815</v>
      </c>
      <c r="AI20" s="75">
        <f t="shared" si="22"/>
        <v>9059.2409522016242</v>
      </c>
      <c r="AJ20" s="71">
        <f t="shared" si="22"/>
        <v>5172.0477025520968</v>
      </c>
      <c r="AK20" s="71">
        <f t="shared" si="22"/>
        <v>6861.1522926351072</v>
      </c>
      <c r="AL20" s="71">
        <f t="shared" si="22"/>
        <v>8246.3406983552341</v>
      </c>
      <c r="AM20" s="71">
        <f t="shared" si="22"/>
        <v>9988.7784702341305</v>
      </c>
      <c r="AN20" s="71">
        <f t="shared" si="22"/>
        <v>14928.822915000272</v>
      </c>
      <c r="AO20" s="71">
        <f>AO17+AO18+AO19</f>
        <v>25379.612871571215</v>
      </c>
      <c r="AP20" s="71">
        <f>AP17+AP18+AP19</f>
        <v>7093.2927118095049</v>
      </c>
      <c r="AQ20" s="71">
        <f t="shared" ref="AQ20:AS20" si="23">AQ17+AQ18+AQ19</f>
        <v>7509.1113830397553</v>
      </c>
      <c r="AR20" s="71">
        <f t="shared" si="23"/>
        <v>7967.537158336565</v>
      </c>
      <c r="AS20" s="71">
        <f t="shared" si="23"/>
        <v>7157.8323579381295</v>
      </c>
    </row>
    <row r="21" spans="1:48" s="78" customFormat="1">
      <c r="A21" s="78" t="s">
        <v>57</v>
      </c>
      <c r="B21" s="79" t="s">
        <v>50</v>
      </c>
      <c r="C21" s="84">
        <f>-'[16]Conso THB'!$EP$27</f>
        <v>-488</v>
      </c>
      <c r="D21" s="84">
        <f>-'[16]Conso THB'!$CZ$27</f>
        <v>-742</v>
      </c>
      <c r="E21" s="84">
        <f>-'[16]Conso THB'!$BM$27</f>
        <v>-579.75699999999995</v>
      </c>
      <c r="F21" s="84">
        <f>-'[16]Conso THB'!$AC$27</f>
        <v>-302.488</v>
      </c>
      <c r="G21" s="84">
        <f>-'[16]Conso THB'!$AB$27</f>
        <v>-451.21590480265303</v>
      </c>
      <c r="H21" s="84">
        <f>-'[8]Conso THB'!$G$27</f>
        <v>-826.68800011950805</v>
      </c>
      <c r="I21" s="84">
        <f>-'[4]Conso THB'!$G$27</f>
        <v>-1313.491</v>
      </c>
      <c r="J21" s="85">
        <f>-'[5]Conso THB'!$G$27</f>
        <v>-2850.4249850000001</v>
      </c>
      <c r="K21" s="84">
        <f>-'[6]Conso THB'!$K$29</f>
        <v>-1847.6994590000002</v>
      </c>
      <c r="L21" s="86">
        <f>-'[6]Conso THB'!$J$29</f>
        <v>-4780.0623659999992</v>
      </c>
      <c r="M21" s="84">
        <f>-'[16]Conso THB'!$BC$27</f>
        <v>-77.275999999999996</v>
      </c>
      <c r="N21" s="84">
        <f>-'[16]Conso THB'!$AQ$27</f>
        <v>-102.13000000000001</v>
      </c>
      <c r="O21" s="84">
        <f>-'[16]Conso THB'!$AH$27</f>
        <v>-148.04000000000002</v>
      </c>
      <c r="P21" s="84">
        <f>-'[16]Conso THB'!$Y$27</f>
        <v>24.958000000000027</v>
      </c>
      <c r="Q21" s="84">
        <f>-'[16]Conso THB'!$P$27</f>
        <v>-107.085013</v>
      </c>
      <c r="R21" s="84">
        <f>-'[16]Conso THB'!$D$27</f>
        <v>-204.29498699999999</v>
      </c>
      <c r="S21" s="84">
        <f>-'[16]Conso THB'!$X$27</f>
        <v>-178.54470904200002</v>
      </c>
      <c r="T21" s="84">
        <f>-'[16]Conso THB'!$O$27</f>
        <v>38.708804239346989</v>
      </c>
      <c r="U21" s="84">
        <f>-'[16]Conso THB'!$C$27</f>
        <v>-169.807561386749</v>
      </c>
      <c r="V21" s="84">
        <f>-'[16]Conso THB'!$B$27</f>
        <v>-283.12132261325098</v>
      </c>
      <c r="W21" s="84">
        <f>-'[7]Conso THB'!$B$27</f>
        <v>-270.34557582981807</v>
      </c>
      <c r="X21" s="84">
        <f>-'[8]Conso THB'!$B$27</f>
        <v>-103.41354028968999</v>
      </c>
      <c r="Y21" s="84">
        <f>-'[9]Conso THB'!$B$27</f>
        <v>-211.22981999999999</v>
      </c>
      <c r="Z21" s="84">
        <f>-'[10]Conso THB'!$B$27</f>
        <v>-679.55443700000001</v>
      </c>
      <c r="AA21" s="84">
        <f>-'[11]Conso THB'!$B$27</f>
        <v>-323.81322699999987</v>
      </c>
      <c r="AB21" s="87">
        <f t="shared" si="14"/>
        <v>-98.893516000000091</v>
      </c>
      <c r="AC21" s="87">
        <f>-'[17]Conso THB'!$B$27</f>
        <v>-513.85599999999999</v>
      </c>
      <c r="AD21" s="84">
        <f>-'[13]Conso THB'!$B$27</f>
        <v>-592.9243899999999</v>
      </c>
      <c r="AE21" s="84">
        <f>-'[14]Conso THB'!$B$27</f>
        <v>-642.02555300000017</v>
      </c>
      <c r="AF21" s="84">
        <f t="shared" ref="AF21:AF25" si="24">J21-AC21-AD21-AE21</f>
        <v>-1101.6190419999998</v>
      </c>
      <c r="AG21" s="84">
        <f>-'[15]Conso THB'!$B$27</f>
        <v>-834.032689</v>
      </c>
      <c r="AH21" s="84">
        <f>-'[12]Conso THB'!$B$27</f>
        <v>-1352.8236349999997</v>
      </c>
      <c r="AI21" s="88">
        <f>-'[6]Conso THB'!$B$29</f>
        <v>-1491.587</v>
      </c>
      <c r="AJ21" s="84">
        <f t="shared" ref="AJ21:AJ23" si="25">Y21+Z21</f>
        <v>-890.78425700000003</v>
      </c>
      <c r="AK21" s="84">
        <f t="shared" ref="AK21:AK23" si="26">AA21+AB21</f>
        <v>-422.70674299999996</v>
      </c>
      <c r="AL21" s="84">
        <f t="shared" ref="AL21:AL23" si="27">AC21+AD21</f>
        <v>-1106.7803899999999</v>
      </c>
      <c r="AM21" s="84">
        <f t="shared" ref="AM21:AM22" si="28">AE21+AF21</f>
        <v>-1743.644595</v>
      </c>
      <c r="AN21" s="84">
        <f>-'[12]Conso THB'!$G$27</f>
        <v>-2186.8563239999999</v>
      </c>
      <c r="AO21" s="84">
        <f>'[1]Historical Financials in USD'!AO21*AO8</f>
        <v>-2588.1749049106993</v>
      </c>
      <c r="AP21" s="84">
        <f>'[1]Historical Financials in USD'!AP21*AP8</f>
        <v>-608.19109981266104</v>
      </c>
      <c r="AQ21" s="84">
        <f>'[1]Historical Financials in USD'!AQ21*AQ8</f>
        <v>-699.10247807725364</v>
      </c>
      <c r="AR21" s="84">
        <f>'[1]Historical Financials in USD'!AR21*AR8</f>
        <v>-646.59567398958745</v>
      </c>
      <c r="AS21" s="84">
        <f>'[1]Historical Financials in USD'!AS21*AS8</f>
        <v>-634.2856530311974</v>
      </c>
    </row>
    <row r="22" spans="1:48" s="78" customFormat="1" ht="15" customHeight="1">
      <c r="A22" s="78" t="s">
        <v>58</v>
      </c>
      <c r="B22" s="79" t="s">
        <v>50</v>
      </c>
      <c r="C22" s="89"/>
      <c r="D22" s="89"/>
      <c r="E22" s="84">
        <f>-'[16]Conso THB'!$BM$28</f>
        <v>-1492.046</v>
      </c>
      <c r="F22" s="84">
        <f>-'[16]Conso THB'!$AC$28-'[8]Restate 2015'!$Q$15/10^3</f>
        <v>-1003.7671162957394</v>
      </c>
      <c r="G22" s="84">
        <f>-'[16]Conso THB'!$AB$28-'[8]Restate 2015'!$H$15/10^3</f>
        <v>-1174.151767077024</v>
      </c>
      <c r="H22" s="84">
        <f>-'[8]Conso THB'!$G$28</f>
        <v>-800.85736172374004</v>
      </c>
      <c r="I22" s="84">
        <f>-'[4]Conso THB'!$G$28</f>
        <v>-960.61599999999999</v>
      </c>
      <c r="J22" s="85">
        <f>-'[5]Conso THB'!$G$28</f>
        <v>217.68077799999958</v>
      </c>
      <c r="K22" s="84">
        <f>-'[6]Conso THB'!$K$30</f>
        <v>-1079.2098580000002</v>
      </c>
      <c r="L22" s="86">
        <f>-'[6]Conso THB'!$J$30</f>
        <v>1349.2118749999995</v>
      </c>
      <c r="M22" s="84">
        <f>-'[16]Conso THB'!$BC$28</f>
        <v>-110.866</v>
      </c>
      <c r="N22" s="84">
        <f>-'[16]Conso THB'!$AQ$28</f>
        <v>-289.41900000000004</v>
      </c>
      <c r="O22" s="84">
        <f>-'[16]Conso THB'!$AH$28</f>
        <v>-226.82599999999996</v>
      </c>
      <c r="P22" s="84">
        <f>-'[16]Conso THB'!$Y$28</f>
        <v>-364.29300000000001</v>
      </c>
      <c r="Q22" s="84">
        <f>-'[16]Conso THB'!$P$28-'[13]Restate 2015'!$B$15/1000</f>
        <v>-370.31257488070378</v>
      </c>
      <c r="R22" s="84">
        <f>-'[16]Conso THB'!$D$28-'[13]Restate 2015'!$C$15/1000</f>
        <v>-305.2540988600083</v>
      </c>
      <c r="S22" s="84">
        <f>-'[16]Conso THB'!$X$28-'[13]Restate 2015'!$E$15/1000</f>
        <v>-141.69036725951264</v>
      </c>
      <c r="T22" s="84">
        <f>-'[16]Conso THB'!$O$28-'[13]Restate 2015'!$G$15/1000</f>
        <v>-356.89472607679932</v>
      </c>
      <c r="U22" s="87">
        <f>-'[9]Conso THB'!$D$28</f>
        <v>-193.48131441157298</v>
      </c>
      <c r="V22" s="87">
        <f>H22-(U22+W22+X22)</f>
        <v>-778.7206191089067</v>
      </c>
      <c r="W22" s="84">
        <f>-'[7]Conso THB'!$B$28-'[8]Restate 2015'!$L$15/1000</f>
        <v>-273.1084937898604</v>
      </c>
      <c r="X22" s="84">
        <f>-'[8]Conso THB'!$B$28</f>
        <v>444.45306558660002</v>
      </c>
      <c r="Y22" s="84">
        <f>-'[9]Conso THB'!$B$28</f>
        <v>63.875366999999997</v>
      </c>
      <c r="Z22" s="84">
        <f>-'[10]Conso THB'!$B$28</f>
        <v>-121.453535</v>
      </c>
      <c r="AA22" s="84">
        <f>-'[11]Conso THB'!$B$28</f>
        <v>-321.15018500000002</v>
      </c>
      <c r="AB22" s="87">
        <f t="shared" si="14"/>
        <v>-581.88764700000002</v>
      </c>
      <c r="AC22" s="87">
        <f>-'[17]Conso THB'!$B$28</f>
        <v>-336.40300000000002</v>
      </c>
      <c r="AD22" s="84">
        <f>-'[13]Conso THB'!$B$28</f>
        <v>263.51481699999999</v>
      </c>
      <c r="AE22" s="84">
        <f>-'[14]Conso THB'!$B$28</f>
        <v>-424.43402800000001</v>
      </c>
      <c r="AF22" s="84">
        <f t="shared" si="24"/>
        <v>715.00298899999962</v>
      </c>
      <c r="AG22" s="84">
        <f>-'[15]Conso THB'!$B$28</f>
        <v>-47.129565999999997</v>
      </c>
      <c r="AH22" s="84">
        <f>-'[12]Conso THB'!$B$28</f>
        <v>208.15862399999997</v>
      </c>
      <c r="AI22" s="88">
        <f>-'[6]Conso THB'!$B$30</f>
        <v>473.17982800000004</v>
      </c>
      <c r="AJ22" s="84">
        <f t="shared" si="25"/>
        <v>-57.578168000000005</v>
      </c>
      <c r="AK22" s="84">
        <f t="shared" si="26"/>
        <v>-903.03783199999998</v>
      </c>
      <c r="AL22" s="84">
        <f t="shared" si="27"/>
        <v>-72.888183000000026</v>
      </c>
      <c r="AM22" s="84">
        <f t="shared" si="28"/>
        <v>290.5689609999996</v>
      </c>
      <c r="AN22" s="84">
        <f>-'[12]Conso THB'!$G$28</f>
        <v>161.02905799999999</v>
      </c>
      <c r="AO22" s="84">
        <f>'[1]Historical Financials in USD'!AO22*AO8</f>
        <v>-1839.7667892381783</v>
      </c>
      <c r="AP22" s="84">
        <f>'[1]Historical Financials in USD'!AP22*AP8</f>
        <v>-434.02589506587435</v>
      </c>
      <c r="AQ22" s="84">
        <f>'[1]Historical Financials in USD'!AQ22*AQ8</f>
        <v>-428.7375182972815</v>
      </c>
      <c r="AR22" s="84">
        <f>'[1]Historical Financials in USD'!AR22*AR8</f>
        <v>-538.062056513735</v>
      </c>
      <c r="AS22" s="84">
        <f>'[1]Historical Financials in USD'!AS22*AS8</f>
        <v>-438.94131936128741</v>
      </c>
    </row>
    <row r="23" spans="1:48" s="78" customFormat="1">
      <c r="A23" s="78" t="s">
        <v>59</v>
      </c>
      <c r="B23" s="79" t="s">
        <v>50</v>
      </c>
      <c r="C23" s="80"/>
      <c r="D23" s="80"/>
      <c r="E23" s="80">
        <f>'[4]By company'!$X$2322</f>
        <v>115.94154581464539</v>
      </c>
      <c r="F23" s="80">
        <f>'[4]By company'!$AC$2322</f>
        <v>-268.25934087467289</v>
      </c>
      <c r="G23" s="80">
        <f>'[4]By company'!$AH$2322</f>
        <v>-390.89143822891293</v>
      </c>
      <c r="H23" s="80">
        <f>'[4]By company'!$AM$2322</f>
        <v>-593.1190370836897</v>
      </c>
      <c r="I23" s="80">
        <f>'[4]By company'!$AR$2322</f>
        <v>56.347497756833029</v>
      </c>
      <c r="J23" s="81">
        <f>'[5]By company'!$AW$2512</f>
        <v>169.15565555441154</v>
      </c>
      <c r="K23" s="80">
        <f>'[6]By company'!$BD$2798</f>
        <v>186.65826652586799</v>
      </c>
      <c r="L23" s="82">
        <f>'[6]By company'!$BC$2798</f>
        <v>583.60679411304363</v>
      </c>
      <c r="M23" s="80">
        <f>'[4]By company'!Y2322</f>
        <v>54.737027409069398</v>
      </c>
      <c r="N23" s="80">
        <f>'[4]By company'!Z2322</f>
        <v>-201.26483777382106</v>
      </c>
      <c r="O23" s="80">
        <f>'[4]By company'!AA2322</f>
        <v>-97.511427262966478</v>
      </c>
      <c r="P23" s="80">
        <f>'[4]By company'!AB2322</f>
        <v>-24.220103246954764</v>
      </c>
      <c r="Q23" s="80">
        <f>'[4]By company'!AD2322</f>
        <v>-117.0512447811938</v>
      </c>
      <c r="R23" s="80">
        <f>'[4]By company'!AE2322</f>
        <v>19.940306716824125</v>
      </c>
      <c r="S23" s="80">
        <f>'[4]By company'!AF2322</f>
        <v>29.630653385480542</v>
      </c>
      <c r="T23" s="80">
        <f>'[4]By company'!AG2322</f>
        <v>-323.41115355002376</v>
      </c>
      <c r="U23" s="80">
        <f>'[4]By company'!AI2322</f>
        <v>-375.75253516743965</v>
      </c>
      <c r="V23" s="80">
        <f>'[4]By company'!AJ2322</f>
        <v>258.45259906219889</v>
      </c>
      <c r="W23" s="80">
        <f>'[4]By company'!AK2322</f>
        <v>-250.62671858673917</v>
      </c>
      <c r="X23" s="80">
        <f>'[4]By company'!AL2322</f>
        <v>-225.19238239170977</v>
      </c>
      <c r="Y23" s="80">
        <f>'[4]By company'!AN2322</f>
        <v>-59.087616091598122</v>
      </c>
      <c r="Z23" s="80">
        <f>'[4]By company'!AO2322</f>
        <v>134.87334143073096</v>
      </c>
      <c r="AA23" s="80">
        <f>'[4]By company'!AP2322</f>
        <v>-60.815246784481374</v>
      </c>
      <c r="AB23" s="80">
        <f>'[4]By company'!AQ2322</f>
        <v>41.377019202181557</v>
      </c>
      <c r="AC23" s="80">
        <f>'[17]By company'!AS2322</f>
        <v>209.35759774103565</v>
      </c>
      <c r="AD23" s="80">
        <f>'[13]By company'!AT2368</f>
        <v>-45.830441508645691</v>
      </c>
      <c r="AE23" s="80">
        <f>'[14]By company'!$AU$2441</f>
        <v>-18.245909103051332</v>
      </c>
      <c r="AF23" s="80">
        <f t="shared" si="24"/>
        <v>23.874408425072914</v>
      </c>
      <c r="AG23" s="80">
        <f>'[15]By company'!$AX$2584</f>
        <v>93.583741255025458</v>
      </c>
      <c r="AH23" s="80">
        <f>'[12]By company'!$AY$2702</f>
        <v>47.664875498968755</v>
      </c>
      <c r="AI23" s="83">
        <f>'[6]By company'!$AZ$2798</f>
        <v>418.48376893397648</v>
      </c>
      <c r="AJ23" s="80">
        <f t="shared" si="25"/>
        <v>75.785725339132838</v>
      </c>
      <c r="AK23" s="80">
        <f t="shared" si="26"/>
        <v>-19.438227582299817</v>
      </c>
      <c r="AL23" s="80">
        <f t="shared" si="27"/>
        <v>163.52715623238996</v>
      </c>
      <c r="AM23" s="80">
        <f>AE23+AF23</f>
        <v>5.6284993220215824</v>
      </c>
      <c r="AN23" s="80">
        <f>'[12]By company'!$AZ$2702</f>
        <v>141.24861675399421</v>
      </c>
      <c r="AO23" s="80">
        <f>'[1]Historical Financials in USD'!AO23*AO8</f>
        <v>0</v>
      </c>
      <c r="AP23" s="80">
        <f>'[1]Historical Financials in USD'!AP23*AP8</f>
        <v>0</v>
      </c>
      <c r="AQ23" s="80">
        <f>'[1]Historical Financials in USD'!AQ23*AQ8</f>
        <v>0</v>
      </c>
      <c r="AR23" s="80">
        <f>'[1]Historical Financials in USD'!AR23*AR8</f>
        <v>0</v>
      </c>
      <c r="AS23" s="80">
        <f>'[1]Historical Financials in USD'!AS23*AS8</f>
        <v>0</v>
      </c>
    </row>
    <row r="24" spans="1:48" s="77" customFormat="1">
      <c r="A24" s="69" t="s">
        <v>60</v>
      </c>
      <c r="B24" s="70" t="s">
        <v>50</v>
      </c>
      <c r="C24" s="71">
        <f>SUM(C20:C23)</f>
        <v>7343.892037187703</v>
      </c>
      <c r="D24" s="71">
        <f t="shared" ref="D24:H24" si="29">SUM(D20:D23)</f>
        <v>9189.6161587550305</v>
      </c>
      <c r="E24" s="71">
        <f t="shared" si="29"/>
        <v>1602.4114005211093</v>
      </c>
      <c r="F24" s="71">
        <f t="shared" si="29"/>
        <v>1899.6922823709115</v>
      </c>
      <c r="G24" s="71">
        <f t="shared" si="29"/>
        <v>4126.5520749673233</v>
      </c>
      <c r="H24" s="71">
        <f t="shared" si="29"/>
        <v>6435.2210029880289</v>
      </c>
      <c r="I24" s="71">
        <f>SUM(I20:I23)</f>
        <v>9815.4404929440407</v>
      </c>
      <c r="J24" s="72">
        <f>SUM(J20:J23)</f>
        <v>15771.530617143781</v>
      </c>
      <c r="K24" s="71">
        <f>SUM(K20:K23)</f>
        <v>14493.012033527824</v>
      </c>
      <c r="L24" s="73">
        <f>SUM(L20:L23)</f>
        <v>25396.660610368217</v>
      </c>
      <c r="M24" s="71">
        <f t="shared" ref="M24:AE24" si="30">SUM(M20:M23)</f>
        <v>-112.47594235254634</v>
      </c>
      <c r="N24" s="71">
        <f t="shared" si="30"/>
        <v>761.11481728775584</v>
      </c>
      <c r="O24" s="71">
        <f t="shared" si="30"/>
        <v>627.72853961099804</v>
      </c>
      <c r="P24" s="71">
        <f t="shared" si="30"/>
        <v>425.64217832713427</v>
      </c>
      <c r="Q24" s="71">
        <f t="shared" si="30"/>
        <v>1010.318523541334</v>
      </c>
      <c r="R24" s="71">
        <f t="shared" si="30"/>
        <v>1372.3912840316739</v>
      </c>
      <c r="S24" s="71">
        <f t="shared" si="30"/>
        <v>1003.467408478259</v>
      </c>
      <c r="T24" s="71">
        <f t="shared" si="30"/>
        <v>740.37485891604774</v>
      </c>
      <c r="U24" s="71">
        <f t="shared" si="30"/>
        <v>1055.0442396695237</v>
      </c>
      <c r="V24" s="71">
        <f t="shared" si="30"/>
        <v>2123.6604074508423</v>
      </c>
      <c r="W24" s="71">
        <f t="shared" si="30"/>
        <v>1690.0263212740592</v>
      </c>
      <c r="X24" s="71">
        <f t="shared" si="30"/>
        <v>1566.4900345935919</v>
      </c>
      <c r="Y24" s="71">
        <f t="shared" si="30"/>
        <v>1282.870263786984</v>
      </c>
      <c r="Z24" s="71">
        <f t="shared" si="30"/>
        <v>3016.6007391042463</v>
      </c>
      <c r="AA24" s="71">
        <f t="shared" si="30"/>
        <v>2901.3892780318747</v>
      </c>
      <c r="AB24" s="74">
        <f t="shared" si="30"/>
        <v>2614.5802120209328</v>
      </c>
      <c r="AC24" s="74">
        <f t="shared" si="30"/>
        <v>3392.5527316367679</v>
      </c>
      <c r="AD24" s="71">
        <f t="shared" si="30"/>
        <v>3837.6465499508568</v>
      </c>
      <c r="AE24" s="71">
        <f t="shared" si="30"/>
        <v>4648.2325400778291</v>
      </c>
      <c r="AF24" s="71">
        <f>SUM(AF20:AF23)</f>
        <v>3893.0987954783245</v>
      </c>
      <c r="AG24" s="71">
        <f t="shared" ref="AG24" si="31">SUM(AG20:AG23)</f>
        <v>5555.2700188760191</v>
      </c>
      <c r="AH24" s="71">
        <f>SUM(AH20:AH23)</f>
        <v>7488.9742468782506</v>
      </c>
      <c r="AI24" s="75">
        <f>SUM(AI20:AI23)</f>
        <v>8459.3175491356014</v>
      </c>
      <c r="AJ24" s="71">
        <f t="shared" ref="AJ24:AN24" si="32">SUM(AJ20:AJ23)</f>
        <v>4299.4710028912295</v>
      </c>
      <c r="AK24" s="71">
        <f t="shared" si="32"/>
        <v>5515.9694900528075</v>
      </c>
      <c r="AL24" s="71">
        <f t="shared" si="32"/>
        <v>7230.1992815876238</v>
      </c>
      <c r="AM24" s="71">
        <f t="shared" si="32"/>
        <v>8541.3313355561513</v>
      </c>
      <c r="AN24" s="71">
        <f t="shared" si="32"/>
        <v>13044.244265754265</v>
      </c>
      <c r="AO24" s="71">
        <f>SUM(AO20:AO23)</f>
        <v>20951.671177422337</v>
      </c>
      <c r="AP24" s="71">
        <f t="shared" ref="AP24:AS24" si="33">SUM(AP20:AP23)</f>
        <v>6051.0757169309691</v>
      </c>
      <c r="AQ24" s="71">
        <f t="shared" si="33"/>
        <v>6381.2713866652202</v>
      </c>
      <c r="AR24" s="71">
        <f t="shared" si="33"/>
        <v>6782.8794278332425</v>
      </c>
      <c r="AS24" s="71">
        <f t="shared" si="33"/>
        <v>6084.6053855456448</v>
      </c>
    </row>
    <row r="25" spans="1:48" s="78" customFormat="1">
      <c r="A25" s="78" t="s">
        <v>61</v>
      </c>
      <c r="B25" s="79" t="s">
        <v>50</v>
      </c>
      <c r="C25" s="80">
        <f>-'[16]Conso THB'!$EP$31</f>
        <v>-560</v>
      </c>
      <c r="D25" s="80">
        <f>-'[16]Conso THB'!$CZ$31</f>
        <v>139</v>
      </c>
      <c r="E25" s="80">
        <f>-'[16]Conso THB'!$BM$31</f>
        <v>-164.363</v>
      </c>
      <c r="F25" s="80">
        <f>-'[16]Conso THB'!$AC$31-'[8]Restate 2015'!$Q$16/10^3</f>
        <v>-191.03701131035166</v>
      </c>
      <c r="G25" s="80">
        <f>-'[16]Conso THB'!$AB$31-'[8]Restate 2015'!$H$16/10^3</f>
        <v>-285.42599561576316</v>
      </c>
      <c r="H25" s="80">
        <f>-'[8]Conso THB'!$G$31</f>
        <v>-279.13</v>
      </c>
      <c r="I25" s="80">
        <f>-'[4]Conso THB'!$G$31</f>
        <v>-162.07599999999999</v>
      </c>
      <c r="J25" s="81">
        <f>-'[5]Conso THB'!$G$31</f>
        <v>-195.417</v>
      </c>
      <c r="K25" s="80">
        <f>-'[6]Conso THB'!$K$33</f>
        <v>-170.76199999999997</v>
      </c>
      <c r="L25" s="82">
        <f>-'[6]Conso THB'!$J$33</f>
        <v>-15.347000000000008</v>
      </c>
      <c r="M25" s="80">
        <f>-'[16]Conso THB'!$BC$31</f>
        <v>-17</v>
      </c>
      <c r="N25" s="80">
        <f>-'[16]Conso THB'!$AQ$31</f>
        <v>-52.055999999999997</v>
      </c>
      <c r="O25" s="80">
        <f>-'[16]Conso THB'!$AH$31</f>
        <v>-108.41100000000002</v>
      </c>
      <c r="P25" s="80">
        <f>-'[16]Conso THB'!$Y$31</f>
        <v>-13.244999999999976</v>
      </c>
      <c r="Q25" s="80">
        <f>-'[16]Conso THB'!$P$31-'[13]Restate 2015'!$B$16/1000</f>
        <v>-75.356475561979607</v>
      </c>
      <c r="R25" s="80">
        <f>-'[16]Conso THB'!$D$31-'[13]Restate 2015'!$C$16/1000</f>
        <v>-115.47056798151134</v>
      </c>
      <c r="S25" s="80">
        <f>-'[16]Conso THB'!$X$31-'[13]Restate 2015'!$E$16/1000</f>
        <v>-31.263213732773</v>
      </c>
      <c r="T25" s="80">
        <f>-'[16]Conso THB'!$O$31-'[13]Restate 2015'!$G$16/1000</f>
        <v>-63.335738339499237</v>
      </c>
      <c r="U25" s="80">
        <f>-'[9]Conso THB'!$D$31</f>
        <v>-89.989000000000004</v>
      </c>
      <c r="V25" s="80">
        <f>H25-(U25+W25+X25)</f>
        <v>-92.851155313491887</v>
      </c>
      <c r="W25" s="80">
        <f>-'[7]Conso THB'!$B$31-'[8]Restate 2015'!$L$23/1000</f>
        <v>-38.371844686508098</v>
      </c>
      <c r="X25" s="80">
        <f>-'[4]Conso THB'!$D$31</f>
        <v>-57.918000000000006</v>
      </c>
      <c r="Y25" s="80">
        <f>-'[9]Conso THB'!$B$31</f>
        <v>-66.436000000000007</v>
      </c>
      <c r="Z25" s="80">
        <f>-'[10]Conso THB'!$B$31</f>
        <v>-57.035999999999987</v>
      </c>
      <c r="AA25" s="80">
        <f>-'[11]Conso THB'!$B$31</f>
        <v>-37.14400000000002</v>
      </c>
      <c r="AB25" s="80">
        <f t="shared" si="14"/>
        <v>-1.4599999999999795</v>
      </c>
      <c r="AC25" s="80">
        <f>-'[17]Conso THB'!$B$31</f>
        <v>-70.789000000000001</v>
      </c>
      <c r="AD25" s="80">
        <f>-'[13]Conso THB'!$B$31</f>
        <v>-68.362000000000009</v>
      </c>
      <c r="AE25" s="80">
        <f>-'[14]Conso THB'!$B$31</f>
        <v>-30.150999999999982</v>
      </c>
      <c r="AF25" s="80">
        <f t="shared" si="24"/>
        <v>-26.115000000000009</v>
      </c>
      <c r="AG25" s="80">
        <f>-'[15]Conso THB'!$B$31</f>
        <v>-26.571999999999999</v>
      </c>
      <c r="AH25" s="80">
        <f>-'[12]Conso THB'!$B$31</f>
        <v>-26.166999999999998</v>
      </c>
      <c r="AI25" s="83">
        <f>-'[6]Conso THB'!$B$33</f>
        <v>63.506999999999998</v>
      </c>
      <c r="AJ25" s="80">
        <f t="shared" ref="AJ25" si="34">Y25+Z25</f>
        <v>-123.47199999999999</v>
      </c>
      <c r="AK25" s="80">
        <f t="shared" ref="AK25" si="35">AA25+AB25</f>
        <v>-38.603999999999999</v>
      </c>
      <c r="AL25" s="80">
        <f t="shared" ref="AL25" si="36">AC25+AD25</f>
        <v>-139.15100000000001</v>
      </c>
      <c r="AM25" s="80">
        <f t="shared" ref="AM25" si="37">AE25+AF25</f>
        <v>-56.265999999999991</v>
      </c>
      <c r="AN25" s="80">
        <f>-'[12]Conso THB'!$G$31</f>
        <v>-52.738999999999997</v>
      </c>
      <c r="AO25" s="80">
        <f>'[1]Historical Financials in USD'!AO25*AO8</f>
        <v>-249.0853397890221</v>
      </c>
      <c r="AP25" s="80">
        <f>'[1]Historical Financials in USD'!AP25*AP8</f>
        <v>0</v>
      </c>
      <c r="AQ25" s="80">
        <f>'[1]Historical Financials in USD'!AQ25*AQ8</f>
        <v>0</v>
      </c>
      <c r="AR25" s="80">
        <f>'[1]Historical Financials in USD'!AR25*AR8</f>
        <v>0</v>
      </c>
      <c r="AS25" s="80">
        <f>'[1]Historical Financials in USD'!AS25*AS8</f>
        <v>0</v>
      </c>
    </row>
    <row r="26" spans="1:48" s="77" customFormat="1">
      <c r="A26" s="69" t="s">
        <v>62</v>
      </c>
      <c r="B26" s="70" t="s">
        <v>50</v>
      </c>
      <c r="C26" s="71">
        <f t="shared" ref="C26:H26" si="38">C24+C25</f>
        <v>6783.892037187703</v>
      </c>
      <c r="D26" s="71">
        <f>D24+D25</f>
        <v>9328.6161587550305</v>
      </c>
      <c r="E26" s="71">
        <f t="shared" si="38"/>
        <v>1438.0484005211092</v>
      </c>
      <c r="F26" s="71">
        <f t="shared" si="38"/>
        <v>1708.6552710605597</v>
      </c>
      <c r="G26" s="71">
        <f t="shared" si="38"/>
        <v>3841.1260793515603</v>
      </c>
      <c r="H26" s="71">
        <f t="shared" si="38"/>
        <v>6156.0910029880288</v>
      </c>
      <c r="I26" s="71">
        <f>I24+I25</f>
        <v>9653.3644929440416</v>
      </c>
      <c r="J26" s="72">
        <f t="shared" ref="J26:K26" si="39">J24+J25</f>
        <v>15576.113617143781</v>
      </c>
      <c r="K26" s="71">
        <f t="shared" si="39"/>
        <v>14322.250033527824</v>
      </c>
      <c r="L26" s="73">
        <f>L24+L25</f>
        <v>25381.313610368215</v>
      </c>
      <c r="M26" s="71">
        <f t="shared" ref="M26:Y26" si="40">M24+M25</f>
        <v>-129.47594235254633</v>
      </c>
      <c r="N26" s="71">
        <f t="shared" si="40"/>
        <v>709.0588172877558</v>
      </c>
      <c r="O26" s="71">
        <f t="shared" si="40"/>
        <v>519.31753961099798</v>
      </c>
      <c r="P26" s="71">
        <f t="shared" si="40"/>
        <v>412.39717832713427</v>
      </c>
      <c r="Q26" s="71">
        <f t="shared" si="40"/>
        <v>934.96204797935434</v>
      </c>
      <c r="R26" s="71">
        <f t="shared" si="40"/>
        <v>1256.9207160501626</v>
      </c>
      <c r="S26" s="71">
        <f t="shared" si="40"/>
        <v>972.20419474548601</v>
      </c>
      <c r="T26" s="71">
        <f t="shared" si="40"/>
        <v>677.0391205765485</v>
      </c>
      <c r="U26" s="71">
        <f t="shared" si="40"/>
        <v>965.05523966952364</v>
      </c>
      <c r="V26" s="71">
        <f t="shared" si="40"/>
        <v>2030.8092521373503</v>
      </c>
      <c r="W26" s="71">
        <f t="shared" si="40"/>
        <v>1651.654476587551</v>
      </c>
      <c r="X26" s="71">
        <f t="shared" si="40"/>
        <v>1508.572034593592</v>
      </c>
      <c r="Y26" s="71">
        <f t="shared" si="40"/>
        <v>1216.434263786984</v>
      </c>
      <c r="Z26" s="71">
        <f>Z24+Z25</f>
        <v>2959.5647391042462</v>
      </c>
      <c r="AA26" s="71">
        <f>AA24+AA25</f>
        <v>2864.2452780318745</v>
      </c>
      <c r="AB26" s="74">
        <f>AB24+AB25</f>
        <v>2613.1202120209327</v>
      </c>
      <c r="AC26" s="74">
        <f>AC24+AC25</f>
        <v>3321.7637316367677</v>
      </c>
      <c r="AD26" s="71">
        <f>AD24+AD25</f>
        <v>3769.2845499508567</v>
      </c>
      <c r="AE26" s="71">
        <f t="shared" ref="AE26:AN26" si="41">AE24+AE25</f>
        <v>4618.0815400778292</v>
      </c>
      <c r="AF26" s="71">
        <f>AF24+AF25</f>
        <v>3866.9837954783243</v>
      </c>
      <c r="AG26" s="71">
        <f t="shared" ref="AG26:AI26" si="42">AG24+AG25</f>
        <v>5528.698018876019</v>
      </c>
      <c r="AH26" s="71">
        <f t="shared" si="42"/>
        <v>7462.8072468782502</v>
      </c>
      <c r="AI26" s="75">
        <f t="shared" si="42"/>
        <v>8522.824549135601</v>
      </c>
      <c r="AJ26" s="71">
        <f t="shared" si="41"/>
        <v>4175.9990028912298</v>
      </c>
      <c r="AK26" s="71">
        <f t="shared" si="41"/>
        <v>5477.3654900528072</v>
      </c>
      <c r="AL26" s="71">
        <f t="shared" si="41"/>
        <v>7091.0482815876239</v>
      </c>
      <c r="AM26" s="71">
        <f t="shared" si="41"/>
        <v>8485.0653355561517</v>
      </c>
      <c r="AN26" s="71">
        <f t="shared" si="41"/>
        <v>12991.505265754266</v>
      </c>
      <c r="AO26" s="71">
        <f>AO24+AO25</f>
        <v>20702.585837633316</v>
      </c>
      <c r="AP26" s="71">
        <f t="shared" ref="AP26:AS26" si="43">AP24+AP25</f>
        <v>6051.0757169309691</v>
      </c>
      <c r="AQ26" s="71">
        <f t="shared" si="43"/>
        <v>6381.2713866652202</v>
      </c>
      <c r="AR26" s="71">
        <f t="shared" si="43"/>
        <v>6782.8794278332425</v>
      </c>
      <c r="AS26" s="71">
        <f t="shared" si="43"/>
        <v>6084.6053855456448</v>
      </c>
      <c r="AT26" s="52"/>
      <c r="AU26" s="52"/>
      <c r="AV26" s="52"/>
    </row>
    <row r="27" spans="1:48" s="90" customFormat="1">
      <c r="A27" s="90" t="s">
        <v>63</v>
      </c>
      <c r="B27" s="91" t="s">
        <v>45</v>
      </c>
      <c r="C27" s="92">
        <f t="shared" ref="C27:F27" si="44">-SUM(C21:C23)/(C20-C19)</f>
        <v>6.2309336962621406E-2</v>
      </c>
      <c r="D27" s="92">
        <f t="shared" si="44"/>
        <v>7.2499055019788761E-2</v>
      </c>
      <c r="E27" s="92">
        <f t="shared" si="44"/>
        <v>0.43977807130221647</v>
      </c>
      <c r="F27" s="92">
        <f t="shared" si="44"/>
        <v>0.3735658193326819</v>
      </c>
      <c r="G27" s="92">
        <f t="shared" ref="G27:Z27" si="45">-SUM(G21:G23)/(G20-G19)</f>
        <v>0.28480359232981001</v>
      </c>
      <c r="H27" s="92">
        <f t="shared" si="45"/>
        <v>0.24531701222234134</v>
      </c>
      <c r="I27" s="92">
        <f>-SUM(I21:I23)/(I20-I19)</f>
        <v>0.18169009967639629</v>
      </c>
      <c r="J27" s="93">
        <f>-SUM(J21:J23)/(J20-J19)</f>
        <v>0.13531209028896751</v>
      </c>
      <c r="K27" s="92">
        <f>-SUM(K21:K23)/(K20-K19)</f>
        <v>0.15923548847333888</v>
      </c>
      <c r="L27" s="94">
        <f>-SUM(L21:L23)/(L20-L19)</f>
        <v>0.10299212188279117</v>
      </c>
      <c r="M27" s="92">
        <f t="shared" si="45"/>
        <v>0.67400407322896805</v>
      </c>
      <c r="N27" s="92">
        <f t="shared" si="45"/>
        <v>0.41363193518479624</v>
      </c>
      <c r="O27" s="92">
        <f t="shared" si="45"/>
        <v>0.36169262410761954</v>
      </c>
      <c r="P27" s="92">
        <f t="shared" si="45"/>
        <v>0.34052241194323812</v>
      </c>
      <c r="Q27" s="92">
        <f t="shared" si="45"/>
        <v>0.32298324124622158</v>
      </c>
      <c r="R27" s="92">
        <f t="shared" si="45"/>
        <v>0.23698723949733513</v>
      </c>
      <c r="S27" s="92">
        <f t="shared" si="45"/>
        <v>0.203834253788447</v>
      </c>
      <c r="T27" s="92">
        <f t="shared" si="45"/>
        <v>0.36718986853018454</v>
      </c>
      <c r="U27" s="92">
        <f t="shared" si="45"/>
        <v>0.39188485907600101</v>
      </c>
      <c r="V27" s="92">
        <f t="shared" si="45"/>
        <v>0.27151312280306195</v>
      </c>
      <c r="W27" s="92">
        <f t="shared" si="45"/>
        <v>0.30443317542382575</v>
      </c>
      <c r="X27" s="92">
        <f t="shared" si="45"/>
        <v>-7.2448164519336652E-2</v>
      </c>
      <c r="Y27" s="92">
        <f t="shared" si="45"/>
        <v>0.13624728583058934</v>
      </c>
      <c r="Z27" s="92">
        <f t="shared" si="45"/>
        <v>0.17872556330294756</v>
      </c>
      <c r="AA27" s="92">
        <f t="shared" ref="AA27:AC27" si="46">-SUM(AA21:AA23)/(AA20-AA19)</f>
        <v>0.19276436207549863</v>
      </c>
      <c r="AB27" s="95">
        <f t="shared" si="46"/>
        <v>0.193607268888843</v>
      </c>
      <c r="AC27" s="95">
        <f t="shared" si="46"/>
        <v>0.1648844859653312</v>
      </c>
      <c r="AD27" s="92">
        <f>-SUM(AD21:AD23)/(AD20-AD19)</f>
        <v>8.6600994494372516E-2</v>
      </c>
      <c r="AE27" s="92">
        <f t="shared" ref="AE27" si="47">-SUM(AE21:AE23)/(AE20-AE19)</f>
        <v>0.19075887805425235</v>
      </c>
      <c r="AF27" s="92">
        <f>-SUM(AF21:AF23)/(AF20-AF19)</f>
        <v>8.4348685759406586E-2</v>
      </c>
      <c r="AG27" s="92">
        <f>-SUM(AG21:AG23)/(AG20-AG19)</f>
        <v>0.12334737991587381</v>
      </c>
      <c r="AH27" s="92">
        <f>-SUM(AH21:AH23)/(AH20-AH19)</f>
        <v>0.13091296960251431</v>
      </c>
      <c r="AI27" s="96">
        <f>-SUM(AI21:AI23)/(AI20-AI19)</f>
        <v>6.9920349309445726E-2</v>
      </c>
      <c r="AJ27" s="92">
        <f>-SUM(AJ21:AJ23)/(AJ20-AJ19)</f>
        <v>0.16644799925274936</v>
      </c>
      <c r="AK27" s="92">
        <f t="shared" ref="AK27:AN27" si="48">-SUM(AK21:AK23)/(AK20-AK19)</f>
        <v>0.19316410286609675</v>
      </c>
      <c r="AL27" s="92">
        <f t="shared" si="48"/>
        <v>0.12361896004170346</v>
      </c>
      <c r="AM27" s="92">
        <f t="shared" si="48"/>
        <v>0.14493651924133008</v>
      </c>
      <c r="AN27" s="92">
        <f t="shared" si="48"/>
        <v>0.12764119549463948</v>
      </c>
      <c r="AO27" s="92">
        <f>-SUM(AO21:AO23)/(AO20-AO19)</f>
        <v>0.17464740188077191</v>
      </c>
      <c r="AP27" s="92">
        <f t="shared" ref="AP27:AS27" si="49">-SUM(AP21:AP23)/(AP20-AP19)</f>
        <v>0.14692992905020905</v>
      </c>
      <c r="AQ27" s="92">
        <f t="shared" si="49"/>
        <v>0.15019620016849122</v>
      </c>
      <c r="AR27" s="92">
        <f t="shared" si="49"/>
        <v>0.14868556079011136</v>
      </c>
      <c r="AS27" s="92">
        <f t="shared" si="49"/>
        <v>0.14993742780274286</v>
      </c>
    </row>
    <row r="28" spans="1:48" s="90" customFormat="1">
      <c r="A28" s="90" t="s">
        <v>64</v>
      </c>
      <c r="B28" s="91" t="s">
        <v>45</v>
      </c>
      <c r="C28" s="92">
        <f>C27</f>
        <v>6.2309336962621406E-2</v>
      </c>
      <c r="D28" s="92">
        <f>D27</f>
        <v>7.2499055019788761E-2</v>
      </c>
      <c r="E28" s="92">
        <f>-E21/E20</f>
        <v>0.16293213693074879</v>
      </c>
      <c r="F28" s="92">
        <f t="shared" ref="F28:K28" si="50">-F21/F20</f>
        <v>8.7066781765536339E-2</v>
      </c>
      <c r="G28" s="92">
        <f t="shared" si="50"/>
        <v>7.3454301492920912E-2</v>
      </c>
      <c r="H28" s="92">
        <f t="shared" si="50"/>
        <v>9.5505885502668225E-2</v>
      </c>
      <c r="I28" s="92">
        <f t="shared" si="50"/>
        <v>0.10915558625513938</v>
      </c>
      <c r="J28" s="93">
        <f t="shared" si="50"/>
        <v>0.15631512789397928</v>
      </c>
      <c r="K28" s="92">
        <f t="shared" si="50"/>
        <v>0.10721704009238175</v>
      </c>
      <c r="L28" s="94">
        <f>-L21/L20</f>
        <v>0.16924226601249734</v>
      </c>
      <c r="M28" s="97">
        <f t="shared" ref="M28:AE28" si="51">-M21/M20</f>
        <v>3.6922876559408988</v>
      </c>
      <c r="N28" s="92">
        <f t="shared" si="51"/>
        <v>7.543233509254231E-2</v>
      </c>
      <c r="O28" s="92">
        <f>-O21/O20</f>
        <v>0.1345688546901232</v>
      </c>
      <c r="P28" s="92">
        <f t="shared" si="51"/>
        <v>-3.1624538734117517E-2</v>
      </c>
      <c r="Q28" s="92">
        <f t="shared" si="51"/>
        <v>6.6729306641278976E-2</v>
      </c>
      <c r="R28" s="92">
        <f t="shared" si="51"/>
        <v>0.10971803440847408</v>
      </c>
      <c r="S28" s="92">
        <f t="shared" si="51"/>
        <v>0.13797125067595972</v>
      </c>
      <c r="T28" s="92">
        <f t="shared" si="51"/>
        <v>-2.8009833831289181E-2</v>
      </c>
      <c r="U28" s="92">
        <f t="shared" si="51"/>
        <v>9.4648525462884214E-2</v>
      </c>
      <c r="V28" s="92">
        <f t="shared" si="51"/>
        <v>9.6725832078027929E-2</v>
      </c>
      <c r="W28" s="92">
        <f t="shared" si="51"/>
        <v>0.10883008015155908</v>
      </c>
      <c r="X28" s="92">
        <f t="shared" si="51"/>
        <v>7.1288075709196638E-2</v>
      </c>
      <c r="Y28" s="92">
        <f t="shared" si="51"/>
        <v>0.14183043767033704</v>
      </c>
      <c r="Z28" s="92">
        <f t="shared" si="51"/>
        <v>0.18452437353929244</v>
      </c>
      <c r="AA28" s="92">
        <f t="shared" si="51"/>
        <v>8.9769379377937594E-2</v>
      </c>
      <c r="AB28" s="95">
        <f t="shared" si="51"/>
        <v>3.0391515504110959E-2</v>
      </c>
      <c r="AC28" s="95">
        <f t="shared" si="51"/>
        <v>0.12739849839415171</v>
      </c>
      <c r="AD28" s="92">
        <f t="shared" si="51"/>
        <v>0.14074064917911452</v>
      </c>
      <c r="AE28" s="92">
        <f t="shared" si="51"/>
        <v>0.11198892254199781</v>
      </c>
      <c r="AF28" s="92">
        <f>-AF21/AF20</f>
        <v>0.25884876501296078</v>
      </c>
      <c r="AG28" s="92">
        <f>-AG21/AG20</f>
        <v>0.13149181865381246</v>
      </c>
      <c r="AH28" s="92">
        <f>-AH21/AH20</f>
        <v>0.15756203952533984</v>
      </c>
      <c r="AI28" s="96">
        <f>-AI21/AI20</f>
        <v>0.1646481209485334</v>
      </c>
      <c r="AJ28" s="92">
        <f t="shared" ref="AJ28:AN28" si="52">-AJ21/AJ20</f>
        <v>0.17223047973058159</v>
      </c>
      <c r="AK28" s="92">
        <f t="shared" si="52"/>
        <v>6.160871016574599E-2</v>
      </c>
      <c r="AL28" s="92">
        <f t="shared" si="52"/>
        <v>0.13421472996146663</v>
      </c>
      <c r="AM28" s="92">
        <f t="shared" si="52"/>
        <v>0.17456034290838868</v>
      </c>
      <c r="AN28" s="92">
        <f t="shared" si="52"/>
        <v>0.14648551573364016</v>
      </c>
      <c r="AO28" s="92">
        <f>-AO21/AO20</f>
        <v>0.10197850211536616</v>
      </c>
      <c r="AP28" s="92">
        <f t="shared" ref="AP28:AS28" si="53">-AP21/AP20</f>
        <v>8.5741717496035916E-2</v>
      </c>
      <c r="AQ28" s="92">
        <f t="shared" si="53"/>
        <v>9.3100560427997109E-2</v>
      </c>
      <c r="AR28" s="92">
        <f t="shared" si="53"/>
        <v>8.1153769494886355E-2</v>
      </c>
      <c r="AS28" s="92">
        <f t="shared" si="53"/>
        <v>8.8614209066766744E-2</v>
      </c>
    </row>
    <row r="29" spans="1:48" s="98" customFormat="1">
      <c r="A29" s="98" t="s">
        <v>65</v>
      </c>
      <c r="B29" s="79" t="s">
        <v>50</v>
      </c>
      <c r="C29" s="27"/>
      <c r="D29" s="27"/>
      <c r="E29" s="27"/>
      <c r="F29" s="27"/>
      <c r="G29" s="84">
        <f>'[18]Q4''2014'!$B$11/10^6</f>
        <v>-178.356164383562</v>
      </c>
      <c r="H29" s="84">
        <f>'[4]Conso THB'!$H$33</f>
        <v>-1050.0000000000002</v>
      </c>
      <c r="I29" s="84">
        <f>'[4]Conso THB'!$G$33</f>
        <v>-1050</v>
      </c>
      <c r="J29" s="85">
        <f>'[5]Conso THB'!$G$33</f>
        <v>-1050.0000000000002</v>
      </c>
      <c r="K29" s="84">
        <f>'[6]Conso THB'!$K$35</f>
        <v>-1049.276891982933</v>
      </c>
      <c r="L29" s="86">
        <f>'[6]Conso THB'!$J$35</f>
        <v>-1050.0000000000002</v>
      </c>
      <c r="M29" s="84"/>
      <c r="N29" s="84"/>
      <c r="O29" s="84"/>
      <c r="P29" s="84"/>
      <c r="Q29" s="84"/>
      <c r="R29" s="84"/>
      <c r="S29" s="84"/>
      <c r="T29" s="84">
        <f>G29</f>
        <v>-178.356164383562</v>
      </c>
      <c r="U29" s="84">
        <f>'[18]Q4''2015'!$B$11/10^6</f>
        <v>-258.90410958904101</v>
      </c>
      <c r="V29" s="84">
        <f>('[18]Q4''2015'!$F$11/10^6)-U29</f>
        <v>-261.780821917808</v>
      </c>
      <c r="W29" s="84">
        <f>('[18]Q4''2015'!$J$11/10^6)-U29-V29</f>
        <v>-264.65753424657601</v>
      </c>
      <c r="X29" s="84">
        <f>H29-U29-V29-W29</f>
        <v>-264.65753424657521</v>
      </c>
      <c r="Y29" s="84">
        <f>'[18]Q4''2016'!$B$11/10^6</f>
        <v>-261.780821917808</v>
      </c>
      <c r="Z29" s="84">
        <f>('[18]Q4''2016'!$F$11/10^6)-Y29</f>
        <v>-260.35032562317599</v>
      </c>
      <c r="AA29" s="84">
        <f>('[18]Q4''2016'!$J$11/10^6)-Y29-Z29</f>
        <v>-263.93442622950795</v>
      </c>
      <c r="AB29" s="87">
        <f>I29-Y29-Z29-AA29</f>
        <v>-263.93442622950806</v>
      </c>
      <c r="AC29" s="87">
        <f>'[17]Conso THB'!$B$33</f>
        <v>-258.904</v>
      </c>
      <c r="AD29" s="84">
        <f>'[13]Conso THB'!$B$33</f>
        <v>-261.78093150684936</v>
      </c>
      <c r="AE29" s="84">
        <f>'[14]Conso THB'!$B$33</f>
        <v>-264.65753424657555</v>
      </c>
      <c r="AF29" s="84">
        <f t="shared" ref="AF29" si="54">J29-AC29-AD29-AE29</f>
        <v>-264.65753424657532</v>
      </c>
      <c r="AG29" s="84">
        <f>'[15]Conso THB'!$B$33</f>
        <v>-258.90410958904113</v>
      </c>
      <c r="AH29" s="84">
        <f>'[12]Conso THB'!$B$33</f>
        <v>-261.78082191780823</v>
      </c>
      <c r="AI29" s="88">
        <f>'[6]Conso THB'!$B$35</f>
        <v>-264.65753424657555</v>
      </c>
      <c r="AJ29" s="84">
        <f t="shared" ref="AJ29" si="55">Y29+Z29</f>
        <v>-522.13114754098399</v>
      </c>
      <c r="AK29" s="84">
        <f t="shared" ref="AK29" si="56">AA29+AB29</f>
        <v>-527.86885245901601</v>
      </c>
      <c r="AL29" s="84">
        <f t="shared" ref="AL29" si="57">AC29+AD29</f>
        <v>-520.68493150684935</v>
      </c>
      <c r="AM29" s="84">
        <f t="shared" ref="AM29" si="58">AE29+AF29</f>
        <v>-529.31506849315087</v>
      </c>
      <c r="AN29" s="84">
        <f>'[12]Conso THB'!$G$33</f>
        <v>-520.68493150684935</v>
      </c>
      <c r="AO29" s="84">
        <f>'[1]Historical Financials in USD'!AO29*AO9</f>
        <v>-1050</v>
      </c>
      <c r="AP29" s="84"/>
      <c r="AQ29" s="84"/>
      <c r="AR29" s="84"/>
      <c r="AS29" s="84"/>
    </row>
    <row r="30" spans="1:48" s="98" customFormat="1">
      <c r="A30" s="98" t="s">
        <v>66</v>
      </c>
      <c r="B30" s="99" t="s">
        <v>67</v>
      </c>
      <c r="C30" s="100">
        <v>4240.0370000000003</v>
      </c>
      <c r="D30" s="100">
        <v>4737.9849999999997</v>
      </c>
      <c r="E30" s="100">
        <v>4814.2569999999996</v>
      </c>
      <c r="F30" s="100">
        <v>4814.2569999999996</v>
      </c>
      <c r="G30" s="100">
        <v>4814.2569999999996</v>
      </c>
      <c r="H30" s="100">
        <v>4814.2569999999996</v>
      </c>
      <c r="I30" s="100">
        <f>AA30</f>
        <v>4814.2719999999999</v>
      </c>
      <c r="J30" s="101">
        <f>'[5]Conso THB'!$G$36</f>
        <v>4985.1961624739724</v>
      </c>
      <c r="K30" s="100">
        <f>'[6]Conso THB'!$K$38</f>
        <v>4876.5706375726031</v>
      </c>
      <c r="L30" s="102">
        <f>'[6]Conso THB'!$J$38</f>
        <v>5419.0333699452049</v>
      </c>
      <c r="M30" s="103">
        <f t="shared" ref="M30:V30" si="59">N30</f>
        <v>4814.2569999999996</v>
      </c>
      <c r="N30" s="103">
        <f t="shared" si="59"/>
        <v>4814.2569999999996</v>
      </c>
      <c r="O30" s="103">
        <f t="shared" si="59"/>
        <v>4814.2569999999996</v>
      </c>
      <c r="P30" s="103">
        <f t="shared" si="59"/>
        <v>4814.2569999999996</v>
      </c>
      <c r="Q30" s="103">
        <f t="shared" si="59"/>
        <v>4814.2569999999996</v>
      </c>
      <c r="R30" s="103">
        <f t="shared" si="59"/>
        <v>4814.2569999999996</v>
      </c>
      <c r="S30" s="103">
        <f t="shared" si="59"/>
        <v>4814.2569999999996</v>
      </c>
      <c r="T30" s="103">
        <f t="shared" si="59"/>
        <v>4814.2569999999996</v>
      </c>
      <c r="U30" s="103">
        <f t="shared" si="59"/>
        <v>4814.2569999999996</v>
      </c>
      <c r="V30" s="103">
        <f t="shared" si="59"/>
        <v>4814.2569999999996</v>
      </c>
      <c r="W30" s="103">
        <f>X30</f>
        <v>4814.2569999999996</v>
      </c>
      <c r="X30" s="103">
        <f>H30</f>
        <v>4814.2569999999996</v>
      </c>
      <c r="Y30" s="65">
        <f>'[9]Conso USD'!$H$36</f>
        <v>4814</v>
      </c>
      <c r="Z30" s="65">
        <f>'[13]Conso THB'!$D$36</f>
        <v>4814.2719999999999</v>
      </c>
      <c r="AA30" s="65">
        <f>'[11]Conso USD'!$B$36</f>
        <v>4814.2719999999999</v>
      </c>
      <c r="AB30" s="67">
        <f>I30</f>
        <v>4814.2719999999999</v>
      </c>
      <c r="AC30" s="67">
        <f>'[13]Conso THB'!$C$36</f>
        <v>4814.2929999999997</v>
      </c>
      <c r="AD30" s="65">
        <f>'[13]Conso THB'!$B$36</f>
        <v>4814.3190583626374</v>
      </c>
      <c r="AE30" s="65">
        <f>'[14]Conso THB'!$B$36</f>
        <v>5061.3676620326087</v>
      </c>
      <c r="AF30" s="65">
        <f>'[5]Conso THB'!$B$36</f>
        <v>5245.2320779239126</v>
      </c>
      <c r="AG30" s="65">
        <f>'[15]Conso THB'!$B$36</f>
        <v>5345.1549869999999</v>
      </c>
      <c r="AH30" s="65">
        <f>'[12]Conso THB'!$B$36</f>
        <v>5500.1167873956038</v>
      </c>
      <c r="AI30" s="68">
        <f>'[6]Conso THB'!$B$38</f>
        <v>5584.9049171521738</v>
      </c>
      <c r="AJ30" s="27"/>
      <c r="AK30" s="27"/>
      <c r="AL30" s="27"/>
      <c r="AM30" s="27"/>
      <c r="AN30" s="27"/>
      <c r="AO30" s="100">
        <f>'[1]Historical Financials in USD'!AO30</f>
        <v>5430.1538461538457</v>
      </c>
      <c r="AP30" s="100"/>
      <c r="AQ30" s="100"/>
      <c r="AR30" s="100"/>
      <c r="AS30" s="100"/>
    </row>
    <row r="31" spans="1:48" s="98" customFormat="1">
      <c r="A31" s="98" t="s">
        <v>68</v>
      </c>
      <c r="B31" s="99" t="s">
        <v>69</v>
      </c>
      <c r="C31" s="104">
        <f>(C26+C29)/C30</f>
        <v>1.5999605751524579</v>
      </c>
      <c r="D31" s="104">
        <f t="shared" ref="D31:AI31" si="60">(D26+D29)/D30</f>
        <v>1.9688994707148779</v>
      </c>
      <c r="E31" s="104">
        <f t="shared" si="60"/>
        <v>0.29870619713926977</v>
      </c>
      <c r="F31" s="104">
        <f t="shared" si="60"/>
        <v>0.35491567464316087</v>
      </c>
      <c r="G31" s="104">
        <f t="shared" si="60"/>
        <v>0.76081727979374569</v>
      </c>
      <c r="H31" s="104">
        <f t="shared" si="60"/>
        <v>1.0606187004532639</v>
      </c>
      <c r="I31" s="104">
        <f t="shared" si="60"/>
        <v>1.787054095186986</v>
      </c>
      <c r="J31" s="105">
        <f>(J26+J29)/J30</f>
        <v>2.9138499556926156</v>
      </c>
      <c r="K31" s="104">
        <f>(K26+K29)/K30</f>
        <v>2.7217842471675429</v>
      </c>
      <c r="L31" s="106">
        <f>(L26+L29)/L30</f>
        <v>4.48997301720145</v>
      </c>
      <c r="M31" s="104">
        <f t="shared" si="60"/>
        <v>-2.6894273062810385E-2</v>
      </c>
      <c r="N31" s="104">
        <f t="shared" si="60"/>
        <v>0.14728312536861987</v>
      </c>
      <c r="O31" s="104">
        <f t="shared" si="60"/>
        <v>0.10787075546880817</v>
      </c>
      <c r="P31" s="104">
        <f t="shared" si="60"/>
        <v>8.5661645883702162E-2</v>
      </c>
      <c r="Q31" s="104">
        <f t="shared" si="60"/>
        <v>0.19420692496876557</v>
      </c>
      <c r="R31" s="104">
        <f t="shared" si="60"/>
        <v>0.26108301157378233</v>
      </c>
      <c r="S31" s="104">
        <f t="shared" si="60"/>
        <v>0.20194272859664245</v>
      </c>
      <c r="T31" s="104">
        <f t="shared" si="60"/>
        <v>0.10358461465455344</v>
      </c>
      <c r="U31" s="104">
        <f t="shared" si="60"/>
        <v>0.14667915112975538</v>
      </c>
      <c r="V31" s="104">
        <f t="shared" si="60"/>
        <v>0.36745616825598271</v>
      </c>
      <c r="W31" s="104">
        <f t="shared" si="60"/>
        <v>0.28810197343867916</v>
      </c>
      <c r="X31" s="104">
        <f t="shared" si="60"/>
        <v>0.25838140762884426</v>
      </c>
      <c r="Y31" s="104">
        <f t="shared" si="60"/>
        <v>0.19830773615894809</v>
      </c>
      <c r="Z31" s="104">
        <f t="shared" si="60"/>
        <v>0.56066927948422318</v>
      </c>
      <c r="AA31" s="104">
        <f t="shared" si="60"/>
        <v>0.54012545444095528</v>
      </c>
      <c r="AB31" s="107">
        <f t="shared" si="60"/>
        <v>0.48796282922764328</v>
      </c>
      <c r="AC31" s="107">
        <f t="shared" si="60"/>
        <v>0.63620135534683242</v>
      </c>
      <c r="AD31" s="104">
        <f t="shared" si="60"/>
        <v>0.72855653643298801</v>
      </c>
      <c r="AE31" s="104">
        <f t="shared" si="60"/>
        <v>0.86012799237804227</v>
      </c>
      <c r="AF31" s="104">
        <f t="shared" si="60"/>
        <v>0.68678110095322353</v>
      </c>
      <c r="AG31" s="104">
        <f t="shared" si="60"/>
        <v>0.98590104910029586</v>
      </c>
      <c r="AH31" s="104">
        <f t="shared" si="60"/>
        <v>1.3092497311080276</v>
      </c>
      <c r="AI31" s="108">
        <f t="shared" si="60"/>
        <v>1.4786584798474938</v>
      </c>
      <c r="AJ31" s="104">
        <f t="shared" ref="AJ31" si="61">Y31+Z31</f>
        <v>0.75897701564317122</v>
      </c>
      <c r="AK31" s="104">
        <f t="shared" ref="AK31" si="62">AA31+AB31</f>
        <v>1.0280882836685985</v>
      </c>
      <c r="AL31" s="104">
        <f t="shared" ref="AL31" si="63">AC31+AD31</f>
        <v>1.3647578917798204</v>
      </c>
      <c r="AM31" s="104">
        <f>AE31+AF31</f>
        <v>1.5469090933312657</v>
      </c>
      <c r="AN31" s="104">
        <f>AF31+AG31</f>
        <v>1.6726821500535194</v>
      </c>
      <c r="AO31" s="104">
        <f>'[19]IVL Model'!$J$256</f>
        <v>3.7393854528733166</v>
      </c>
      <c r="AP31" s="104"/>
      <c r="AQ31" s="104"/>
      <c r="AR31" s="104"/>
      <c r="AS31" s="104"/>
      <c r="AT31" s="109"/>
      <c r="AU31" s="109"/>
      <c r="AV31" s="109"/>
    </row>
    <row r="32" spans="1:48" s="22" customFormat="1" ht="25">
      <c r="A32" s="14" t="s">
        <v>70</v>
      </c>
      <c r="B32" s="15"/>
      <c r="C32" s="16"/>
      <c r="D32" s="16"/>
      <c r="E32" s="16"/>
      <c r="F32" s="16"/>
      <c r="G32" s="17"/>
      <c r="H32" s="17"/>
      <c r="I32" s="17"/>
      <c r="J32" s="59"/>
      <c r="K32" s="17"/>
      <c r="L32" s="60"/>
      <c r="M32" s="17"/>
      <c r="N32" s="17"/>
      <c r="O32" s="17"/>
      <c r="P32" s="17"/>
      <c r="Q32" s="17"/>
      <c r="R32" s="17"/>
      <c r="S32" s="17"/>
      <c r="T32" s="17"/>
      <c r="U32" s="17"/>
      <c r="V32" s="17"/>
      <c r="W32" s="17"/>
      <c r="X32" s="17"/>
      <c r="Y32" s="17"/>
      <c r="Z32" s="17"/>
      <c r="AA32" s="17"/>
      <c r="AB32" s="17"/>
      <c r="AC32" s="17"/>
      <c r="AD32" s="17"/>
      <c r="AE32" s="17"/>
      <c r="AF32" s="17"/>
      <c r="AG32" s="17"/>
      <c r="AH32" s="17"/>
      <c r="AI32" s="110"/>
      <c r="AJ32" s="17"/>
      <c r="AK32" s="17"/>
      <c r="AL32" s="17"/>
      <c r="AM32" s="17"/>
      <c r="AN32" s="17"/>
      <c r="AO32" s="17"/>
      <c r="AP32" s="17"/>
      <c r="AQ32" s="17"/>
      <c r="AR32" s="17"/>
      <c r="AS32" s="17"/>
      <c r="AT32" s="111"/>
      <c r="AU32" s="111"/>
      <c r="AV32" s="111"/>
    </row>
    <row r="33" spans="1:48">
      <c r="C33" s="61"/>
      <c r="D33" s="61"/>
      <c r="E33" s="61"/>
      <c r="F33" s="61"/>
      <c r="G33" s="61"/>
      <c r="H33" s="61"/>
      <c r="I33" s="61"/>
      <c r="J33" s="62"/>
      <c r="K33" s="61"/>
      <c r="L33" s="63"/>
      <c r="M33" s="61"/>
      <c r="N33" s="61"/>
      <c r="O33" s="61"/>
      <c r="P33" s="61"/>
      <c r="Q33" s="61"/>
      <c r="R33" s="61"/>
      <c r="S33" s="61"/>
      <c r="T33" s="61"/>
      <c r="U33" s="61"/>
      <c r="V33" s="61"/>
      <c r="W33" s="61"/>
      <c r="X33" s="61"/>
      <c r="Y33" s="61"/>
      <c r="Z33" s="61"/>
      <c r="AA33" s="61"/>
      <c r="AB33" s="112"/>
      <c r="AC33" s="112"/>
      <c r="AD33" s="61"/>
      <c r="AE33" s="61"/>
      <c r="AF33" s="61"/>
      <c r="AG33" s="61"/>
      <c r="AH33" s="61"/>
      <c r="AI33" s="113"/>
      <c r="AJ33" s="61"/>
      <c r="AK33" s="61"/>
      <c r="AL33" s="61"/>
      <c r="AM33" s="61"/>
      <c r="AN33" s="61"/>
      <c r="AO33" s="61"/>
      <c r="AP33" s="61"/>
      <c r="AQ33" s="61"/>
      <c r="AR33" s="61"/>
      <c r="AS33" s="61"/>
    </row>
    <row r="34" spans="1:48">
      <c r="A34" s="3" t="s">
        <v>71</v>
      </c>
      <c r="B34" s="2" t="s">
        <v>50</v>
      </c>
      <c r="C34" s="84">
        <f>'[4]By company'!$R$1429</f>
        <v>1178.6617363873224</v>
      </c>
      <c r="D34" s="84">
        <f>'[4]By company'!$S$1429</f>
        <v>226.96384124495512</v>
      </c>
      <c r="E34" s="84">
        <f>'[4]By company'!$X$1429</f>
        <v>68.794145293529354</v>
      </c>
      <c r="F34" s="84">
        <f>'[4]By company'!$AC$1429</f>
        <v>-645.6309337480169</v>
      </c>
      <c r="G34" s="84">
        <f>'[4]By company'!$AH$1429</f>
        <v>-2498.9554554356409</v>
      </c>
      <c r="H34" s="84">
        <f>'[4]By company'!$AM$1429</f>
        <v>-2552.7066591608777</v>
      </c>
      <c r="I34" s="84">
        <f>'[4]By company'!$AR$1429</f>
        <v>261.07500481277771</v>
      </c>
      <c r="J34" s="85">
        <f>'[5]By company'!$AW$1547</f>
        <v>1271.2039524106096</v>
      </c>
      <c r="K34" s="84">
        <f>'[6]By company'!$BD$1725</f>
        <v>1015.4692089979989</v>
      </c>
      <c r="L34" s="86">
        <f>'[6]By company'!$BC$1725</f>
        <v>3529.0846462948443</v>
      </c>
      <c r="M34" s="84">
        <f>'[4]By company'!Y1429</f>
        <v>383.97096976161566</v>
      </c>
      <c r="N34" s="84">
        <f>'[4]By company'!Z1429</f>
        <v>-798.79865506158262</v>
      </c>
      <c r="O34" s="84">
        <f>'[4]By company'!AA1429</f>
        <v>107.76403312604293</v>
      </c>
      <c r="P34" s="84">
        <f>'[4]By company'!AB1429</f>
        <v>-338.56728157409287</v>
      </c>
      <c r="Q34" s="84">
        <f>'[4]By company'!AD1429</f>
        <v>-581.53454601901592</v>
      </c>
      <c r="R34" s="84">
        <f>'[4]By company'!AE1429</f>
        <v>19.053366212533774</v>
      </c>
      <c r="S34" s="84">
        <f>'[4]By company'!AF1429</f>
        <v>-20.072641586151008</v>
      </c>
      <c r="T34" s="84">
        <f>'[4]By company'!AG1429</f>
        <v>-1916.4016340430078</v>
      </c>
      <c r="U34" s="84">
        <f>'[4]By company'!AI1429</f>
        <v>-1068.0554522755212</v>
      </c>
      <c r="V34" s="84">
        <f>'[4]By company'!AJ1429</f>
        <v>987.54181052942863</v>
      </c>
      <c r="W34" s="84">
        <f>'[4]By company'!AK1429</f>
        <v>-1408.2314846332345</v>
      </c>
      <c r="X34" s="84">
        <f>'[4]By company'!AL1429</f>
        <v>-1063.9615327815507</v>
      </c>
      <c r="Y34" s="84">
        <f>'[4]By company'!AN1429</f>
        <v>-447.209968878582</v>
      </c>
      <c r="Z34" s="84">
        <f>'[4]By company'!AO1429</f>
        <v>639.64516830288017</v>
      </c>
      <c r="AA34" s="84">
        <f>'[4]By company'!AP1429</f>
        <v>-144.67663179274928</v>
      </c>
      <c r="AB34" s="87">
        <f>I34-Y34-Z34-AA34</f>
        <v>213.31643718122882</v>
      </c>
      <c r="AC34" s="87">
        <f>'[17]By company'!AS1429</f>
        <v>1340.9098661042663</v>
      </c>
      <c r="AD34" s="84">
        <f>'[13]By company'!AT1457</f>
        <v>-789.85778313189223</v>
      </c>
      <c r="AE34" s="84">
        <f>'[14]By company'!$AU$1503</f>
        <v>251.10068849150275</v>
      </c>
      <c r="AF34" s="84">
        <f t="shared" ref="AF34" si="64">J34-AC34-AD34-AE34</f>
        <v>469.05118094673287</v>
      </c>
      <c r="AG34" s="84">
        <f>'[15]By company'!$AX$1592</f>
        <v>573.27859737901099</v>
      </c>
      <c r="AH34" s="84">
        <f>'[12]By company'!$AY$1665</f>
        <v>293.64134162069627</v>
      </c>
      <c r="AI34" s="88">
        <f>'[6]By company'!$AZ$1725</f>
        <v>2193.1135263484043</v>
      </c>
      <c r="AJ34" s="84">
        <f t="shared" ref="AJ34" si="65">Y34+Z34</f>
        <v>192.43519942429816</v>
      </c>
      <c r="AK34" s="84">
        <f t="shared" ref="AK34" si="66">AA34+AB34</f>
        <v>68.639805388479544</v>
      </c>
      <c r="AL34" s="84">
        <f t="shared" ref="AL34" si="67">AC34+AD34</f>
        <v>551.05208297237402</v>
      </c>
      <c r="AM34" s="84">
        <f t="shared" ref="AM34" si="68">AE34+AF34</f>
        <v>720.15186943823562</v>
      </c>
      <c r="AN34" s="84">
        <f>'[12]By company'!$AZ$1665</f>
        <v>866.91993899970726</v>
      </c>
      <c r="AO34" s="84">
        <f>'[1]Historical Financials in USD'!AO34*AO8</f>
        <v>1169.9070393969569</v>
      </c>
      <c r="AP34" s="84">
        <f>'[1]Historical Financials in USD'!AP34*AP8</f>
        <v>951.12506335225453</v>
      </c>
      <c r="AQ34" s="84">
        <f>'[1]Historical Financials in USD'!AQ34*AQ8</f>
        <v>116.66081898423778</v>
      </c>
      <c r="AR34" s="84">
        <f>'[1]Historical Financials in USD'!AR34*AR8</f>
        <v>65.463530142033363</v>
      </c>
      <c r="AS34" s="84">
        <f>'[1]Historical Financials in USD'!AS34*AS8</f>
        <v>36.657626918431404</v>
      </c>
    </row>
    <row r="35" spans="1:48">
      <c r="A35" s="114" t="s">
        <v>72</v>
      </c>
      <c r="B35" s="115" t="s">
        <v>50</v>
      </c>
      <c r="C35" s="116">
        <f t="shared" ref="C35:G35" si="69">C15+C34</f>
        <v>13777.553773575026</v>
      </c>
      <c r="D35" s="116">
        <f t="shared" si="69"/>
        <v>17120.579999999987</v>
      </c>
      <c r="E35" s="116">
        <f t="shared" si="69"/>
        <v>14409.830999999995</v>
      </c>
      <c r="F35" s="116">
        <f t="shared" si="69"/>
        <v>14037.599999999991</v>
      </c>
      <c r="G35" s="116">
        <f t="shared" si="69"/>
        <v>15959.320187334586</v>
      </c>
      <c r="H35" s="116">
        <f>H15+H34</f>
        <v>19404.849742754086</v>
      </c>
      <c r="I35" s="116">
        <f>I15+I34</f>
        <v>27626.745999999985</v>
      </c>
      <c r="J35" s="117">
        <f>J15+J34</f>
        <v>35348.654120999978</v>
      </c>
      <c r="K35" s="116">
        <f>K15+K34</f>
        <v>33908.621525999959</v>
      </c>
      <c r="L35" s="73">
        <f>L15+L34</f>
        <v>48096.05517555002</v>
      </c>
      <c r="M35" s="116">
        <f t="shared" ref="M35:Z35" si="70">M15+M34</f>
        <v>3112.9</v>
      </c>
      <c r="N35" s="116">
        <f t="shared" si="70"/>
        <v>3175.0999999999949</v>
      </c>
      <c r="O35" s="116">
        <f t="shared" si="70"/>
        <v>4104.1960000000072</v>
      </c>
      <c r="P35" s="116">
        <f t="shared" si="70"/>
        <v>3645.4039999999959</v>
      </c>
      <c r="Q35" s="116">
        <f t="shared" si="70"/>
        <v>3983.1813290000014</v>
      </c>
      <c r="R35" s="116">
        <f t="shared" si="70"/>
        <v>4986.7445609359902</v>
      </c>
      <c r="S35" s="116">
        <f t="shared" si="70"/>
        <v>4331.871943929701</v>
      </c>
      <c r="T35" s="116">
        <f t="shared" si="70"/>
        <v>2657.522353468883</v>
      </c>
      <c r="U35" s="116">
        <f t="shared" si="70"/>
        <v>3692.9077318703849</v>
      </c>
      <c r="V35" s="116">
        <f t="shared" si="70"/>
        <v>7199.6740271296094</v>
      </c>
      <c r="W35" s="116">
        <f t="shared" si="70"/>
        <v>4503.1155945316114</v>
      </c>
      <c r="X35" s="116">
        <f t="shared" si="70"/>
        <v>4009.1523892224714</v>
      </c>
      <c r="Y35" s="116">
        <f t="shared" si="70"/>
        <v>4356.886364</v>
      </c>
      <c r="Z35" s="116">
        <f t="shared" si="70"/>
        <v>8389.1494372882116</v>
      </c>
      <c r="AA35" s="116">
        <f>AA15+AA34</f>
        <v>7416.2951727117897</v>
      </c>
      <c r="AB35" s="118">
        <f>AB15+AB34</f>
        <v>7464.4150259999806</v>
      </c>
      <c r="AC35" s="118">
        <f>AC15+AC34</f>
        <v>9022.3499999999985</v>
      </c>
      <c r="AD35" s="116">
        <f>AD15+AD34</f>
        <v>7398.832236243743</v>
      </c>
      <c r="AE35" s="116">
        <f t="shared" ref="AE35" si="71">AE15+AE34</f>
        <v>10023.024263756251</v>
      </c>
      <c r="AF35" s="116">
        <f>AF15+AF34</f>
        <v>8904.4476209999848</v>
      </c>
      <c r="AG35" s="116">
        <f t="shared" ref="AG35:AS35" si="72">AG15+AG34</f>
        <v>10863.078130000004</v>
      </c>
      <c r="AH35" s="116">
        <f t="shared" si="72"/>
        <v>12688.008431999977</v>
      </c>
      <c r="AI35" s="75">
        <f t="shared" si="72"/>
        <v>15640.520992550028</v>
      </c>
      <c r="AJ35" s="116">
        <f t="shared" si="72"/>
        <v>12746.035801288212</v>
      </c>
      <c r="AK35" s="116">
        <f t="shared" si="72"/>
        <v>14880.710198711771</v>
      </c>
      <c r="AL35" s="116">
        <f t="shared" si="72"/>
        <v>16421.182236243741</v>
      </c>
      <c r="AM35" s="116">
        <f t="shared" si="72"/>
        <v>18927.471884756236</v>
      </c>
      <c r="AN35" s="116">
        <f t="shared" si="72"/>
        <v>23551.086561999982</v>
      </c>
      <c r="AO35" s="116">
        <f t="shared" si="72"/>
        <v>43403.628278930468</v>
      </c>
      <c r="AP35" s="116">
        <f t="shared" si="72"/>
        <v>10991.03470282345</v>
      </c>
      <c r="AQ35" s="116">
        <f t="shared" si="72"/>
        <v>10725.546077181731</v>
      </c>
      <c r="AR35" s="116">
        <f t="shared" si="72"/>
        <v>11237.430000528577</v>
      </c>
      <c r="AS35" s="116">
        <f t="shared" si="72"/>
        <v>10449.61749839671</v>
      </c>
    </row>
    <row r="36" spans="1:48">
      <c r="A36" s="3" t="s">
        <v>73</v>
      </c>
      <c r="B36" s="2" t="s">
        <v>50</v>
      </c>
      <c r="C36" s="87">
        <f>'[16]Conso THB'!$EP$23</f>
        <v>2451</v>
      </c>
      <c r="D36" s="87">
        <f>'[16]Conso THB'!$CZ$23</f>
        <v>6001.42</v>
      </c>
      <c r="E36" s="87">
        <f>'[16]Conso THB'!$BM$23</f>
        <v>1349.26</v>
      </c>
      <c r="F36" s="107">
        <f>'[16]Conso THB'!$AC$23</f>
        <v>191.93699999999995</v>
      </c>
      <c r="G36" s="87">
        <f>'[16]Conso THB'!$AB$23</f>
        <v>-57.992999999999824</v>
      </c>
      <c r="H36" s="87">
        <f>'[8]Conso THB'!$G$23</f>
        <v>2412.761</v>
      </c>
      <c r="I36" s="87">
        <f>SUM(I37:I39)</f>
        <v>6339.0115229550975</v>
      </c>
      <c r="J36" s="85">
        <f>SUM(J37:J39)</f>
        <v>4204.7006568014476</v>
      </c>
      <c r="K36" s="119">
        <f>SUM(K37:K39)</f>
        <v>-1311.6283957798264</v>
      </c>
      <c r="L36" s="86">
        <f>SUM(L37:L39)</f>
        <v>5786.7619266340553</v>
      </c>
      <c r="M36" s="87">
        <f>'[16]Conso THB'!$BC$23</f>
        <v>291.10000000000002</v>
      </c>
      <c r="N36" s="87">
        <f>'[16]Conso THB'!$AQ$23</f>
        <v>102.75400000000008</v>
      </c>
      <c r="O36" s="87">
        <f>'[16]Conso THB'!$AH$23</f>
        <v>365.58499999999975</v>
      </c>
      <c r="P36" s="87">
        <f>'[16]Conso THB'!$Y$23</f>
        <v>-567.50199999999995</v>
      </c>
      <c r="Q36" s="87">
        <f>'[16]Conso THB'!$P$23</f>
        <v>-55.053599999999996</v>
      </c>
      <c r="R36" s="87">
        <f>'[16]Conso THB'!$D$23</f>
        <v>274.08760000000012</v>
      </c>
      <c r="S36" s="87">
        <f>'[16]Conso THB'!$X$23</f>
        <v>-287.62176588335012</v>
      </c>
      <c r="T36" s="87">
        <f>'[16]Conso THB'!$O$23</f>
        <v>10.594765883350192</v>
      </c>
      <c r="U36" s="84">
        <f>'[9]Conso THB'!$D$23</f>
        <v>137.53691600000002</v>
      </c>
      <c r="V36" s="87">
        <f>'[10]Conso THB'!$D$23</f>
        <v>2657.2890839999995</v>
      </c>
      <c r="W36" s="87">
        <f>'[7]Conso THB'!$B$23</f>
        <v>-14.692999999999302</v>
      </c>
      <c r="X36" s="84">
        <f>H36-U36-V36-W36</f>
        <v>-367.3720000000003</v>
      </c>
      <c r="Y36" s="84">
        <f>'[9]Conso THB'!$B$23</f>
        <v>3276.1452029999996</v>
      </c>
      <c r="Z36" s="84">
        <f>'[10]Conso THB'!$B$23</f>
        <v>2485.20716551141</v>
      </c>
      <c r="AA36" s="84">
        <f>'[11]Conso THB'!$B$23</f>
        <v>403.28063148859019</v>
      </c>
      <c r="AB36" s="87">
        <f>SUM(AB37:AB39)</f>
        <v>174.3788353753996</v>
      </c>
      <c r="AC36" s="87">
        <f>SUM(AC37:AC39)</f>
        <v>-26.846506093384981</v>
      </c>
      <c r="AD36" s="84">
        <f>SUM(AD37:AD39)</f>
        <v>-88.178847113517023</v>
      </c>
      <c r="AE36" s="84">
        <f t="shared" ref="AE36:AN36" si="73">SUM(AE37:AE39)</f>
        <v>-1370.9818779483239</v>
      </c>
      <c r="AF36" s="84">
        <f>SUM(AF37:AF39)</f>
        <v>5690.7078879566743</v>
      </c>
      <c r="AG36" s="84">
        <f>SUM(AG37:AG39)</f>
        <v>-194.37372344601002</v>
      </c>
      <c r="AH36" s="84">
        <f>SUM(AH37:AH39)</f>
        <v>533.90903666868178</v>
      </c>
      <c r="AI36" s="88">
        <f>SUM(AI37:AI39)</f>
        <v>-243.4812745452906</v>
      </c>
      <c r="AJ36" s="84">
        <f>SUM(AJ37:AJ39)</f>
        <v>5761.3522940217817</v>
      </c>
      <c r="AK36" s="84">
        <f t="shared" si="73"/>
        <v>577.65922893331424</v>
      </c>
      <c r="AL36" s="84">
        <f t="shared" si="73"/>
        <v>-115.025353206902</v>
      </c>
      <c r="AM36" s="84">
        <f t="shared" si="73"/>
        <v>4319.7260100083495</v>
      </c>
      <c r="AN36" s="84">
        <f t="shared" si="73"/>
        <v>339.53531322267179</v>
      </c>
      <c r="AO36" s="87">
        <f>SUM(AO37:AO39)</f>
        <v>0</v>
      </c>
      <c r="AP36" s="87">
        <f t="shared" ref="AP36:AS36" si="74">SUM(AP37:AP39)</f>
        <v>0</v>
      </c>
      <c r="AQ36" s="87">
        <f t="shared" si="74"/>
        <v>0</v>
      </c>
      <c r="AR36" s="87">
        <f t="shared" si="74"/>
        <v>0</v>
      </c>
      <c r="AS36" s="87">
        <f t="shared" si="74"/>
        <v>0</v>
      </c>
    </row>
    <row r="37" spans="1:48" hidden="1" outlineLevel="1">
      <c r="A37" s="3" t="s">
        <v>74</v>
      </c>
      <c r="B37" s="2" t="s">
        <v>50</v>
      </c>
      <c r="C37" s="87"/>
      <c r="D37" s="87">
        <f>'[11]Conso THB'!$FB$172</f>
        <v>-613</v>
      </c>
      <c r="E37" s="87">
        <f>'[11]Conso THB'!$DO$172</f>
        <v>-386.74400000000003</v>
      </c>
      <c r="F37" s="87">
        <f>'[11]Conso THB'!$CE$172</f>
        <v>31.921502977061998</v>
      </c>
      <c r="G37" s="87">
        <f>'[11]Conso THB'!$AO$172</f>
        <v>-126.21408373686201</v>
      </c>
      <c r="H37" s="87">
        <f>'[11]Conso THB'!$AN$172</f>
        <v>-165.51109173241804</v>
      </c>
      <c r="I37" s="87">
        <f>'[4]MDA table'!$AG$44</f>
        <v>-186.42087900479504</v>
      </c>
      <c r="J37" s="85">
        <f>'[5]MDA table'!$CI$48</f>
        <v>-539.68478535981205</v>
      </c>
      <c r="K37" s="119">
        <f>AD37+AE37+AB37+AC37</f>
        <v>-411.50949435668906</v>
      </c>
      <c r="L37" s="86">
        <f>AI37+AH37+AG37+AF37</f>
        <v>-1051.7710549917929</v>
      </c>
      <c r="M37" s="87">
        <f>'[11]Conso THB'!$DE$172</f>
        <v>-1.3950879999999999E-2</v>
      </c>
      <c r="N37" s="87">
        <f>'[11]Conso THB'!$CS$172</f>
        <v>30.911206718319999</v>
      </c>
      <c r="O37" s="87">
        <f>'[11]Conso THB'!$CJ$172</f>
        <v>0.69305840733091983</v>
      </c>
      <c r="P37" s="87">
        <f>F37-M37-N37-O37</f>
        <v>0.33118873141107841</v>
      </c>
      <c r="Q37" s="87">
        <f>'[11]Conso THB'!$BR$172</f>
        <v>0</v>
      </c>
      <c r="R37" s="87">
        <f>'[11]Conso THB'!$BF$172</f>
        <v>-22.487942800399999</v>
      </c>
      <c r="S37" s="87">
        <f>'[11]Conso THB'!$AT$172</f>
        <v>-14.099514900940001</v>
      </c>
      <c r="T37" s="87">
        <f>'[11]Conso THB'!$AK$172</f>
        <v>-89.626626035522008</v>
      </c>
      <c r="U37" s="84">
        <f>'[11]Conso THB'!$AB$172</f>
        <v>-19.157653228191997</v>
      </c>
      <c r="V37" s="87">
        <f>'[11]Conso THB'!$P$172</f>
        <v>-96.471665880031992</v>
      </c>
      <c r="W37" s="87">
        <f>'[11]MDA table'!$T$44</f>
        <v>-11.72071355015202</v>
      </c>
      <c r="X37" s="84">
        <f>H37-U37-V37-W37</f>
        <v>-38.161059074042022</v>
      </c>
      <c r="Y37" s="84">
        <f>'[11]Conso THB'!$O$172</f>
        <v>-10.400476729862001</v>
      </c>
      <c r="Z37" s="84">
        <f>'[11]MDA table'!R44</f>
        <v>-41.821318557622</v>
      </c>
      <c r="AA37" s="84">
        <f>'[11]MDA table'!Q44</f>
        <v>-12.519269972650008</v>
      </c>
      <c r="AB37" s="87">
        <f t="shared" ref="AB37:AB39" si="75">I37-Y37-Z37-AA37</f>
        <v>-121.67981374466105</v>
      </c>
      <c r="AC37" s="87">
        <f>'[17]MDA table'!$AK$45</f>
        <v>-72.836029231999987</v>
      </c>
      <c r="AD37" s="84">
        <f>'[13]MDA table'!$AT$49</f>
        <v>-92.732360810178989</v>
      </c>
      <c r="AE37" s="84">
        <f>'[14]MDA table'!$BL$48</f>
        <v>-124.26129056984905</v>
      </c>
      <c r="AF37" s="84">
        <f t="shared" ref="AF37:AF39" si="76">J37-AC37-AD37-AE37</f>
        <v>-249.85510474778403</v>
      </c>
      <c r="AG37" s="84">
        <f>'[15]MDA table'!$CV$48</f>
        <v>-189.37865765538601</v>
      </c>
      <c r="AH37" s="84">
        <f>'[12]MDA table'!$DN$48</f>
        <v>-356.7418023528582</v>
      </c>
      <c r="AI37" s="88">
        <f>'[6]Conso THB'!$B$172</f>
        <v>-255.79549023576465</v>
      </c>
      <c r="AJ37" s="84">
        <f t="shared" ref="AJ37:AJ39" si="77">Y37+Z37</f>
        <v>-52.221795287483999</v>
      </c>
      <c r="AK37" s="84">
        <f t="shared" ref="AK37:AK39" si="78">AA37+AB37</f>
        <v>-134.19908371731105</v>
      </c>
      <c r="AL37" s="84">
        <f t="shared" ref="AL37:AL39" si="79">AC37+AD37</f>
        <v>-165.56839004217898</v>
      </c>
      <c r="AM37" s="84">
        <f t="shared" ref="AM37:AM39" si="80">AE37+AF37</f>
        <v>-374.11639531763308</v>
      </c>
      <c r="AN37" s="84">
        <f>AG37+AH37</f>
        <v>-546.12046000824421</v>
      </c>
      <c r="AO37" s="87"/>
      <c r="AP37" s="87"/>
      <c r="AQ37" s="87"/>
      <c r="AR37" s="87"/>
      <c r="AS37" s="87"/>
    </row>
    <row r="38" spans="1:48" hidden="1" outlineLevel="1">
      <c r="A38" s="3" t="s">
        <v>75</v>
      </c>
      <c r="B38" s="2" t="s">
        <v>50</v>
      </c>
      <c r="C38" s="87">
        <v>2451</v>
      </c>
      <c r="D38" s="87">
        <f>'[11]Conso THB'!$FB$171-'[11]Conso THB'!$FB$188</f>
        <v>8359</v>
      </c>
      <c r="E38" s="87">
        <f>'[11]Conso THB'!$DO$171-'[11]Conso THB'!$DO$188</f>
        <v>147.54</v>
      </c>
      <c r="F38" s="87">
        <f>'[11]Conso THB'!$CE$171-'[11]Conso THB'!$CE$188</f>
        <v>-298.07577206272498</v>
      </c>
      <c r="G38" s="87">
        <f>'[11]Conso THB'!$AO$171-'[11]Conso THB'!$AO$188</f>
        <v>506.41430900335786</v>
      </c>
      <c r="H38" s="87">
        <f>'[11]Conso THB'!$AN$171-'[11]Conso THB'!$AN$188</f>
        <v>2628.3745511458674</v>
      </c>
      <c r="I38" s="87">
        <f>'[4]MDA table'!$AG$45</f>
        <v>6021.7989916368942</v>
      </c>
      <c r="J38" s="85">
        <f>'[5]MDA table'!$CI$49</f>
        <v>1380.6485665666301</v>
      </c>
      <c r="K38" s="119">
        <f>AD38+AE38+AB38+AC38</f>
        <v>-1526.0040269851602</v>
      </c>
      <c r="L38" s="86">
        <f>AI38+AH38+AG38+AF38</f>
        <v>3487.665582278878</v>
      </c>
      <c r="M38" s="87">
        <f>'[11]Conso THB'!$DE$171-'[11]Conso THB'!$DE$188</f>
        <v>0</v>
      </c>
      <c r="N38" s="87">
        <f>'[11]Conso THB'!$CS$171-'[11]Conso THB'!$CS$188</f>
        <v>0</v>
      </c>
      <c r="O38" s="87">
        <f>'[11]Conso THB'!$CJ$171-'[11]Conso THB'!$CJ$188</f>
        <v>-8.5312179999999987E-2</v>
      </c>
      <c r="P38" s="87">
        <f>F38-M38-N38-O38</f>
        <v>-297.99045988272496</v>
      </c>
      <c r="Q38" s="87">
        <f>'[11]Conso THB'!$BR$171-'[11]Conso THB'!$BR$188</f>
        <v>0</v>
      </c>
      <c r="R38" s="87">
        <f>'[11]Conso THB'!$BF$171-'[11]Conso THB'!$BF$188</f>
        <v>403.27290083075695</v>
      </c>
      <c r="S38" s="87">
        <f>'[11]Conso THB'!$AT$171-'[11]Conso THB'!$AT$188</f>
        <v>3.332858950670925E-4</v>
      </c>
      <c r="T38" s="87">
        <f>'[11]Conso THB'!$AK$171-'[11]Conso THB'!$AK$188</f>
        <v>103.14107488670584</v>
      </c>
      <c r="U38" s="84">
        <f>'[11]Conso THB'!$AB$171-'[11]Conso THB'!$AB$188</f>
        <v>192.80832173209899</v>
      </c>
      <c r="V38" s="87">
        <f>'[11]Conso THB'!$P$171-'[11]Conso THB'!$P$188</f>
        <v>2756.7833940067594</v>
      </c>
      <c r="W38" s="87">
        <f>'[11]MDA table'!$T$45</f>
        <v>-1.0571094541944603E-6</v>
      </c>
      <c r="X38" s="84">
        <f>H38-U38-V38-W38</f>
        <v>-321.2171635358817</v>
      </c>
      <c r="Y38" s="84">
        <f>'[11]Conso THB'!$O$171-'[11]Conso THB'!$O$188</f>
        <v>3289.8192637128</v>
      </c>
      <c r="Z38" s="84">
        <f>'[11]MDA table'!R45</f>
        <v>2608.4598285793727</v>
      </c>
      <c r="AA38" s="84">
        <f>'[11]MDA table'!Q45</f>
        <v>432.90314050443988</v>
      </c>
      <c r="AB38" s="87">
        <f t="shared" si="75"/>
        <v>-309.3832411597183</v>
      </c>
      <c r="AC38" s="87">
        <f>'[17]MDA table'!$AK$46</f>
        <v>0</v>
      </c>
      <c r="AD38" s="84">
        <f>'[13]MDA table'!$AT$50</f>
        <v>-1.69156295</v>
      </c>
      <c r="AE38" s="84">
        <f>'[14]MDA table'!$BL$49</f>
        <v>-1214.9292228754421</v>
      </c>
      <c r="AF38" s="84">
        <f t="shared" si="76"/>
        <v>2597.2693523920721</v>
      </c>
      <c r="AG38" s="84">
        <f>'[15]MDA table'!$CV$49</f>
        <v>0</v>
      </c>
      <c r="AH38" s="84">
        <f>'[12]MDA table'!$DN$49</f>
        <v>894.87708966034802</v>
      </c>
      <c r="AI38" s="88">
        <f>'[6]Conso THB'!$B$171-'[6]Conso THB'!$B$188</f>
        <v>-4.4808597735419653</v>
      </c>
      <c r="AJ38" s="84">
        <f t="shared" si="77"/>
        <v>5898.2790922921722</v>
      </c>
      <c r="AK38" s="84">
        <f t="shared" si="78"/>
        <v>123.51989934472158</v>
      </c>
      <c r="AL38" s="84">
        <f t="shared" si="79"/>
        <v>-1.69156295</v>
      </c>
      <c r="AM38" s="84">
        <f t="shared" si="80"/>
        <v>1382.34012951663</v>
      </c>
      <c r="AN38" s="84">
        <f>AG38+AH38</f>
        <v>894.87708966034802</v>
      </c>
      <c r="AO38" s="87"/>
      <c r="AP38" s="87"/>
      <c r="AQ38" s="87"/>
      <c r="AR38" s="87"/>
      <c r="AS38" s="87"/>
    </row>
    <row r="39" spans="1:48" hidden="1" outlineLevel="1">
      <c r="A39" s="3" t="s">
        <v>76</v>
      </c>
      <c r="B39" s="2" t="s">
        <v>50</v>
      </c>
      <c r="C39" s="87"/>
      <c r="D39" s="87">
        <f>'[11]Conso THB'!$FB$173+'[11]Conso THB'!$FB$188+'[11]Conso THB'!$FB$175</f>
        <v>-1744.58</v>
      </c>
      <c r="E39" s="87">
        <f>'[11]Conso THB'!$DO$173+'[11]Conso THB'!$DO$188+'[11]Conso THB'!$DO$175</f>
        <v>1587.94</v>
      </c>
      <c r="F39" s="87">
        <f>'[11]Conso THB'!$CE$173+'[11]Conso THB'!$CE$188+'[11]Conso THB'!$CE$175</f>
        <v>458.08446489599999</v>
      </c>
      <c r="G39" s="87">
        <f>'[11]Conso THB'!$AO$173+'[11]Conso THB'!$AO$188</f>
        <v>-438.2021690877657</v>
      </c>
      <c r="H39" s="87">
        <f>'[11]Conso THB'!$AN$173+'[11]Conso THB'!$AN$188</f>
        <v>-50.104234876333749</v>
      </c>
      <c r="I39" s="87">
        <f>'[4]MDA table'!$AG$46</f>
        <v>503.63341032299786</v>
      </c>
      <c r="J39" s="85">
        <f>'[5]MDA table'!$CI$50</f>
        <v>3363.73687559463</v>
      </c>
      <c r="K39" s="119">
        <f>AD39+AE39+AB39+AC39</f>
        <v>625.88512556202306</v>
      </c>
      <c r="L39" s="86">
        <f>AI39+AH39+AG39+AF39</f>
        <v>3350.8673993469697</v>
      </c>
      <c r="M39" s="87">
        <f>'[11]Conso THB'!$DE$173+'[11]Conso THB'!$DE$188</f>
        <v>291.05450661000003</v>
      </c>
      <c r="N39" s="87">
        <f>'[11]Conso THB'!$CS$173+'[11]Conso THB'!$CS$188</f>
        <v>72.062498382046044</v>
      </c>
      <c r="O39" s="87">
        <f>'[11]Conso THB'!$CJ$173+'[11]Conso THB'!$CJ$188+'[11]Conso THB'!$CJ$175</f>
        <v>364.97673035495393</v>
      </c>
      <c r="P39" s="87">
        <f>F39-M39-N39-O39</f>
        <v>-270.00927045100002</v>
      </c>
      <c r="Q39" s="87">
        <f>'[11]Conso THB'!$BR$173+'[11]Conso THB'!$BR$188</f>
        <v>-55.053591657683299</v>
      </c>
      <c r="R39" s="87">
        <f>'[11]Conso THB'!$BF$173+'[11]Conso THB'!$BF$188</f>
        <v>-106.69497053838677</v>
      </c>
      <c r="S39" s="87">
        <f>'[11]Conso THB'!$AT$173+'[11]Conso THB'!$AT$188</f>
        <v>-273.52538863996824</v>
      </c>
      <c r="T39" s="87">
        <f>'[11]Conso THB'!$AK$173+'[11]Conso THB'!$AK$188</f>
        <v>-2.9282182517274578</v>
      </c>
      <c r="U39" s="84">
        <f>'[11]Conso THB'!$AB$173+'[11]Conso THB'!$AB$188</f>
        <v>-36.112902954755995</v>
      </c>
      <c r="V39" s="87">
        <f>'[11]Conso THB'!$P$173+'[11]Conso THB'!$P$188</f>
        <v>-3.0246208255489364</v>
      </c>
      <c r="W39" s="87">
        <f>'[11]MDA table'!$T$46</f>
        <v>-2.9717593871851129</v>
      </c>
      <c r="X39" s="84">
        <f>H39-U39-V39-W39</f>
        <v>-7.9949517088437041</v>
      </c>
      <c r="Y39" s="84">
        <f>'[11]Conso THB'!$O$173+'[11]Conso THB'!$O$188</f>
        <v>-3.2733200475500004</v>
      </c>
      <c r="Z39" s="84">
        <f>'[11]MDA table'!R46</f>
        <v>-81.431682935355866</v>
      </c>
      <c r="AA39" s="84">
        <f>'[11]MDA table'!Q46</f>
        <v>-17.103476973875217</v>
      </c>
      <c r="AB39" s="87">
        <f t="shared" si="75"/>
        <v>605.44189027977893</v>
      </c>
      <c r="AC39" s="87">
        <f>'[17]MDA table'!$AK$47</f>
        <v>45.989523138615006</v>
      </c>
      <c r="AD39" s="84">
        <f>'[13]MDA table'!$AT$51</f>
        <v>6.2450766466619658</v>
      </c>
      <c r="AE39" s="84">
        <f>'[14]MDA table'!$BL$50</f>
        <v>-31.79136450303281</v>
      </c>
      <c r="AF39" s="84">
        <f t="shared" si="76"/>
        <v>3343.2936403123858</v>
      </c>
      <c r="AG39" s="84">
        <f>'[15]MDA table'!$CV$50</f>
        <v>-4.9950657906240155</v>
      </c>
      <c r="AH39" s="84">
        <f>'[12]MDA table'!$DN$50</f>
        <v>-4.2262506388079855</v>
      </c>
      <c r="AI39" s="88">
        <f>'[6]Conso THB'!$B$173+'[6]Conso THB'!$B$188</f>
        <v>16.795075464016001</v>
      </c>
      <c r="AJ39" s="84">
        <f t="shared" si="77"/>
        <v>-84.705002982905867</v>
      </c>
      <c r="AK39" s="84">
        <f t="shared" si="78"/>
        <v>588.33841330590371</v>
      </c>
      <c r="AL39" s="84">
        <f t="shared" si="79"/>
        <v>52.23459978527697</v>
      </c>
      <c r="AM39" s="84">
        <f t="shared" si="80"/>
        <v>3311.5022758093528</v>
      </c>
      <c r="AN39" s="84">
        <f>AG39+AH39</f>
        <v>-9.2213164294320009</v>
      </c>
      <c r="AO39" s="87"/>
      <c r="AP39" s="87"/>
      <c r="AQ39" s="87"/>
      <c r="AR39" s="87"/>
      <c r="AS39" s="87"/>
    </row>
    <row r="40" spans="1:48" collapsed="1">
      <c r="A40" s="3" t="s">
        <v>59</v>
      </c>
      <c r="B40" s="2" t="s">
        <v>50</v>
      </c>
      <c r="C40" s="80">
        <f t="shared" ref="C40:H40" si="81">C23</f>
        <v>0</v>
      </c>
      <c r="D40" s="80">
        <f t="shared" si="81"/>
        <v>0</v>
      </c>
      <c r="E40" s="80">
        <f t="shared" si="81"/>
        <v>115.94154581464539</v>
      </c>
      <c r="F40" s="80">
        <f t="shared" si="81"/>
        <v>-268.25934087467289</v>
      </c>
      <c r="G40" s="80">
        <f t="shared" si="81"/>
        <v>-390.89143822891293</v>
      </c>
      <c r="H40" s="80">
        <f t="shared" si="81"/>
        <v>-593.1190370836897</v>
      </c>
      <c r="I40" s="80">
        <f>I23</f>
        <v>56.347497756833029</v>
      </c>
      <c r="J40" s="81">
        <f>J23</f>
        <v>169.15565555441154</v>
      </c>
      <c r="K40" s="80">
        <f>AD40+AE40+AB40+AC40</f>
        <v>186.65826633152017</v>
      </c>
      <c r="L40" s="82">
        <f>L23</f>
        <v>583.60679411304363</v>
      </c>
      <c r="M40" s="80">
        <f t="shared" ref="M40:AL40" si="82">M23</f>
        <v>54.737027409069398</v>
      </c>
      <c r="N40" s="80">
        <f t="shared" si="82"/>
        <v>-201.26483777382106</v>
      </c>
      <c r="O40" s="80">
        <f t="shared" si="82"/>
        <v>-97.511427262966478</v>
      </c>
      <c r="P40" s="80">
        <f t="shared" si="82"/>
        <v>-24.220103246954764</v>
      </c>
      <c r="Q40" s="80">
        <f t="shared" si="82"/>
        <v>-117.0512447811938</v>
      </c>
      <c r="R40" s="80">
        <f t="shared" si="82"/>
        <v>19.940306716824125</v>
      </c>
      <c r="S40" s="80">
        <f t="shared" si="82"/>
        <v>29.630653385480542</v>
      </c>
      <c r="T40" s="80">
        <f t="shared" si="82"/>
        <v>-323.41115355002376</v>
      </c>
      <c r="U40" s="80">
        <f t="shared" si="82"/>
        <v>-375.75253516743965</v>
      </c>
      <c r="V40" s="80">
        <f t="shared" si="82"/>
        <v>258.45259906219889</v>
      </c>
      <c r="W40" s="80">
        <f t="shared" si="82"/>
        <v>-250.62671858673917</v>
      </c>
      <c r="X40" s="80">
        <f t="shared" si="82"/>
        <v>-225.19238239170977</v>
      </c>
      <c r="Y40" s="80">
        <f t="shared" si="82"/>
        <v>-59.087616091598122</v>
      </c>
      <c r="Z40" s="80">
        <f t="shared" si="82"/>
        <v>134.87334143073096</v>
      </c>
      <c r="AA40" s="80">
        <f t="shared" si="82"/>
        <v>-60.815246784481374</v>
      </c>
      <c r="AB40" s="80">
        <f t="shared" si="82"/>
        <v>41.377019202181557</v>
      </c>
      <c r="AC40" s="80">
        <f t="shared" si="82"/>
        <v>209.35759774103565</v>
      </c>
      <c r="AD40" s="80">
        <f t="shared" si="82"/>
        <v>-45.830441508645691</v>
      </c>
      <c r="AE40" s="80">
        <f t="shared" si="82"/>
        <v>-18.245909103051332</v>
      </c>
      <c r="AF40" s="80">
        <f>AF23</f>
        <v>23.874408425072914</v>
      </c>
      <c r="AG40" s="80">
        <f t="shared" ref="AG40:AI40" si="83">AG23</f>
        <v>93.583741255025458</v>
      </c>
      <c r="AH40" s="80">
        <f t="shared" si="83"/>
        <v>47.664875498968755</v>
      </c>
      <c r="AI40" s="83">
        <f t="shared" si="83"/>
        <v>418.48376893397648</v>
      </c>
      <c r="AJ40" s="80">
        <f t="shared" si="82"/>
        <v>75.785725339132838</v>
      </c>
      <c r="AK40" s="80">
        <f t="shared" si="82"/>
        <v>-19.438227582299817</v>
      </c>
      <c r="AL40" s="80">
        <f t="shared" si="82"/>
        <v>163.52715623238996</v>
      </c>
      <c r="AM40" s="80">
        <f>AM23</f>
        <v>5.6284993220215824</v>
      </c>
      <c r="AN40" s="80">
        <f>AN23</f>
        <v>141.24861675399421</v>
      </c>
      <c r="AO40" s="80"/>
      <c r="AP40" s="80"/>
      <c r="AQ40" s="80"/>
      <c r="AR40" s="80"/>
      <c r="AS40" s="80"/>
    </row>
    <row r="41" spans="1:48" s="120" customFormat="1">
      <c r="A41" s="114" t="s">
        <v>77</v>
      </c>
      <c r="B41" s="115" t="s">
        <v>50</v>
      </c>
      <c r="C41" s="116">
        <f t="shared" ref="C41:H41" si="84">C26+C34+C36-C40</f>
        <v>10413.553773575026</v>
      </c>
      <c r="D41" s="116">
        <f t="shared" si="84"/>
        <v>15556.999999999985</v>
      </c>
      <c r="E41" s="116">
        <f t="shared" si="84"/>
        <v>2740.1609999999932</v>
      </c>
      <c r="F41" s="116">
        <f t="shared" si="84"/>
        <v>1523.2206781872155</v>
      </c>
      <c r="G41" s="116">
        <f t="shared" si="84"/>
        <v>1675.0690621448323</v>
      </c>
      <c r="H41" s="116">
        <f t="shared" si="84"/>
        <v>6609.2643809108404</v>
      </c>
      <c r="I41" s="116">
        <f>I26+I34+I36-I40</f>
        <v>16197.103522955083</v>
      </c>
      <c r="J41" s="117">
        <f>J26+J34+J36-J40</f>
        <v>20882.862570801426</v>
      </c>
      <c r="K41" s="118">
        <f>K26+K34+K36-K40</f>
        <v>13839.432580414476</v>
      </c>
      <c r="L41" s="73">
        <f>L26+L34+L36-L40</f>
        <v>34113.553389184068</v>
      </c>
      <c r="M41" s="116">
        <f t="shared" ref="M41:AB41" si="85">M26+M34+M36-M40</f>
        <v>490.858</v>
      </c>
      <c r="N41" s="116">
        <f t="shared" si="85"/>
        <v>214.27899999999431</v>
      </c>
      <c r="O41" s="116">
        <f t="shared" si="85"/>
        <v>1090.1780000000072</v>
      </c>
      <c r="P41" s="116">
        <f t="shared" si="85"/>
        <v>-469.45200000000381</v>
      </c>
      <c r="Q41" s="116">
        <f t="shared" si="85"/>
        <v>415.42514674153222</v>
      </c>
      <c r="R41" s="116">
        <f t="shared" si="85"/>
        <v>1530.1213755458723</v>
      </c>
      <c r="S41" s="116">
        <f t="shared" si="85"/>
        <v>634.87913389050436</v>
      </c>
      <c r="T41" s="116">
        <f t="shared" si="85"/>
        <v>-905.35659403308546</v>
      </c>
      <c r="U41" s="116">
        <f t="shared" si="85"/>
        <v>410.28923856144206</v>
      </c>
      <c r="V41" s="116">
        <f>V26+V34+V36-V40</f>
        <v>5417.1875476045798</v>
      </c>
      <c r="W41" s="116">
        <f t="shared" si="85"/>
        <v>479.35671054105643</v>
      </c>
      <c r="X41" s="116">
        <f t="shared" si="85"/>
        <v>302.43088420375079</v>
      </c>
      <c r="Y41" s="116">
        <f t="shared" si="85"/>
        <v>4104.4571139999998</v>
      </c>
      <c r="Z41" s="116">
        <f t="shared" si="85"/>
        <v>5949.5437314878063</v>
      </c>
      <c r="AA41" s="116">
        <f t="shared" si="85"/>
        <v>3183.6645245121967</v>
      </c>
      <c r="AB41" s="118">
        <f t="shared" si="85"/>
        <v>2959.43846537538</v>
      </c>
      <c r="AC41" s="118">
        <f>AC26+AC34+AC36-AC40</f>
        <v>4426.469493906613</v>
      </c>
      <c r="AD41" s="116">
        <f>AD26+AD34+AD36-AD40</f>
        <v>2937.0783612140935</v>
      </c>
      <c r="AE41" s="116">
        <f t="shared" ref="AE41:AN41" si="86">AE26+AE34+AE36-AE40</f>
        <v>3516.4462597240599</v>
      </c>
      <c r="AF41" s="116">
        <f>AF26+AF34+AF36-AF40</f>
        <v>10002.868455956659</v>
      </c>
      <c r="AG41" s="116">
        <f>AG26+AG34+AG36-AG40</f>
        <v>5814.0191515539937</v>
      </c>
      <c r="AH41" s="116">
        <f>AH26+AH34+AH36-AH40</f>
        <v>8242.6927496686585</v>
      </c>
      <c r="AI41" s="75">
        <f>AI26+AI34+AI36-AI40</f>
        <v>10053.973032004738</v>
      </c>
      <c r="AJ41" s="116">
        <f t="shared" si="86"/>
        <v>10054.000770998178</v>
      </c>
      <c r="AK41" s="116">
        <f t="shared" si="86"/>
        <v>6143.1027519569006</v>
      </c>
      <c r="AL41" s="116">
        <f t="shared" si="86"/>
        <v>7363.5478551207061</v>
      </c>
      <c r="AM41" s="116">
        <f t="shared" si="86"/>
        <v>13519.314715680715</v>
      </c>
      <c r="AN41" s="116">
        <f t="shared" si="86"/>
        <v>14056.71190122265</v>
      </c>
      <c r="AO41" s="116">
        <f>AO26+AO34+AO36-AO40</f>
        <v>21872.492877030272</v>
      </c>
      <c r="AP41" s="116"/>
      <c r="AQ41" s="116"/>
      <c r="AR41" s="116"/>
      <c r="AS41" s="116"/>
      <c r="AT41" s="77"/>
      <c r="AU41" s="77"/>
      <c r="AV41" s="77"/>
    </row>
    <row r="42" spans="1:48" s="98" customFormat="1">
      <c r="A42" s="98" t="s">
        <v>78</v>
      </c>
      <c r="B42" s="99" t="s">
        <v>69</v>
      </c>
      <c r="C42" s="104">
        <f t="shared" ref="C42:F42" si="87">(C41+C29)/C30</f>
        <v>2.4560054012677308</v>
      </c>
      <c r="D42" s="104">
        <f t="shared" si="87"/>
        <v>3.2834633288201602</v>
      </c>
      <c r="E42" s="104">
        <f t="shared" si="87"/>
        <v>0.56917630280227949</v>
      </c>
      <c r="F42" s="104">
        <f t="shared" si="87"/>
        <v>0.31639787368792643</v>
      </c>
      <c r="G42" s="104">
        <f>(G41+G29)/G30</f>
        <v>0.31089177369659959</v>
      </c>
      <c r="H42" s="104">
        <f t="shared" ref="H42:AD42" si="88">(H41+H29)/H30</f>
        <v>1.1547502305985826</v>
      </c>
      <c r="I42" s="104">
        <f>(I41+I29)/I30</f>
        <v>3.1462915936106399</v>
      </c>
      <c r="J42" s="105">
        <f>(J41+J29)/J30</f>
        <v>3.9783514879701531</v>
      </c>
      <c r="K42" s="107">
        <f>(K41+K29)/K30</f>
        <v>2.62277666807223</v>
      </c>
      <c r="L42" s="106">
        <f>(L41+L29)/L30</f>
        <v>6.1013747530250759</v>
      </c>
      <c r="M42" s="104">
        <f t="shared" si="88"/>
        <v>0.10195924313969945</v>
      </c>
      <c r="N42" s="104">
        <f t="shared" si="88"/>
        <v>4.4509256568561736E-2</v>
      </c>
      <c r="O42" s="104">
        <f t="shared" si="88"/>
        <v>0.22644781946622444</v>
      </c>
      <c r="P42" s="104">
        <f t="shared" si="88"/>
        <v>-9.7512866471400228E-2</v>
      </c>
      <c r="Q42" s="104">
        <f t="shared" si="88"/>
        <v>8.6290604498582488E-2</v>
      </c>
      <c r="R42" s="104">
        <f t="shared" si="88"/>
        <v>0.31783126151052438</v>
      </c>
      <c r="S42" s="104">
        <f t="shared" si="88"/>
        <v>0.13187479062511712</v>
      </c>
      <c r="T42" s="104">
        <f t="shared" si="88"/>
        <v>-0.22510488293762621</v>
      </c>
      <c r="U42" s="104">
        <f t="shared" si="88"/>
        <v>3.1445169830443424E-2</v>
      </c>
      <c r="V42" s="104">
        <f t="shared" si="88"/>
        <v>1.0708623834761568</v>
      </c>
      <c r="W42" s="104">
        <f t="shared" si="88"/>
        <v>4.4596534064234715E-2</v>
      </c>
      <c r="X42" s="104">
        <f t="shared" si="88"/>
        <v>7.8461432277453381E-3</v>
      </c>
      <c r="Y42" s="104">
        <f t="shared" si="88"/>
        <v>0.79822939179106611</v>
      </c>
      <c r="Z42" s="104">
        <f t="shared" si="88"/>
        <v>1.1817349343503296</v>
      </c>
      <c r="AA42" s="104">
        <f t="shared" si="88"/>
        <v>0.60647385488038252</v>
      </c>
      <c r="AB42" s="107">
        <f t="shared" si="88"/>
        <v>0.55989857638826224</v>
      </c>
      <c r="AC42" s="107">
        <f t="shared" si="88"/>
        <v>0.86566511300965976</v>
      </c>
      <c r="AD42" s="104">
        <f t="shared" si="88"/>
        <v>0.55569591405874119</v>
      </c>
      <c r="AE42" s="104">
        <f>(AE41+AE29)/AE30</f>
        <v>0.64247234001008913</v>
      </c>
      <c r="AF42" s="104">
        <f>J42-AC42-AD42-AE42</f>
        <v>1.9145181208916631</v>
      </c>
      <c r="AG42" s="104">
        <f>(AG41+AG29)/AG30</f>
        <v>1.039280442845081</v>
      </c>
      <c r="AH42" s="104">
        <f>(AH41+AH29)/AH30</f>
        <v>1.4510440843802417</v>
      </c>
      <c r="AI42" s="108">
        <f>(AI41+AI29)/AI30</f>
        <v>1.7528168595482341</v>
      </c>
      <c r="AJ42" s="104">
        <f t="shared" ref="AJ42" si="89">Y42+Z42</f>
        <v>1.9799643261413957</v>
      </c>
      <c r="AK42" s="104">
        <f t="shared" ref="AK42" si="90">AA42+AB42</f>
        <v>1.1663724312686448</v>
      </c>
      <c r="AL42" s="104">
        <f t="shared" ref="AL42" si="91">AC42+AD42</f>
        <v>1.421361027068401</v>
      </c>
      <c r="AM42" s="104">
        <f>AE42+AF42</f>
        <v>2.5569904609017522</v>
      </c>
      <c r="AN42" s="104">
        <f>AF42+AG42</f>
        <v>2.9537985637367443</v>
      </c>
      <c r="AO42" s="104">
        <f>'[1]Historical Financials in USD'!AO42</f>
        <v>3.9699700432850857</v>
      </c>
      <c r="AP42" s="104"/>
      <c r="AQ42" s="104"/>
      <c r="AR42" s="104"/>
      <c r="AS42" s="104"/>
      <c r="AT42" s="100"/>
      <c r="AU42" s="100"/>
      <c r="AV42" s="100"/>
    </row>
    <row r="43" spans="1:48" s="22" customFormat="1" ht="25">
      <c r="A43" s="14" t="s">
        <v>79</v>
      </c>
      <c r="B43" s="15"/>
      <c r="C43" s="16"/>
      <c r="D43" s="16"/>
      <c r="E43" s="16"/>
      <c r="F43" s="16"/>
      <c r="G43" s="17"/>
      <c r="H43" s="17"/>
      <c r="I43" s="17"/>
      <c r="J43" s="59"/>
      <c r="K43" s="17"/>
      <c r="L43" s="121"/>
      <c r="M43" s="17"/>
      <c r="N43" s="17"/>
      <c r="O43" s="17"/>
      <c r="P43" s="17"/>
      <c r="Q43" s="17"/>
      <c r="R43" s="17"/>
      <c r="S43" s="17"/>
      <c r="T43" s="17"/>
      <c r="U43" s="17"/>
      <c r="V43" s="17"/>
      <c r="W43" s="17"/>
      <c r="X43" s="17"/>
      <c r="Y43" s="17"/>
      <c r="Z43" s="17"/>
      <c r="AA43" s="17"/>
      <c r="AB43" s="17"/>
      <c r="AC43" s="17"/>
      <c r="AD43" s="17"/>
      <c r="AE43" s="17"/>
      <c r="AF43" s="17"/>
      <c r="AG43" s="17"/>
      <c r="AH43" s="17"/>
      <c r="AI43" s="110"/>
      <c r="AJ43" s="17"/>
      <c r="AK43" s="17"/>
      <c r="AL43" s="17"/>
      <c r="AM43" s="17"/>
      <c r="AN43" s="17"/>
      <c r="AO43" s="17"/>
      <c r="AP43" s="17"/>
      <c r="AQ43" s="17"/>
      <c r="AR43" s="17"/>
      <c r="AS43" s="17"/>
      <c r="AT43" s="122"/>
      <c r="AU43" s="122"/>
      <c r="AV43" s="122"/>
    </row>
    <row r="44" spans="1:48">
      <c r="A44" s="3" t="s">
        <v>80</v>
      </c>
      <c r="B44" s="2" t="s">
        <v>50</v>
      </c>
      <c r="C44" s="84">
        <f>'[16]Conso THB'!$EP$100</f>
        <v>32068</v>
      </c>
      <c r="D44" s="84">
        <f>'[16]Conso THB'!$CZ$100</f>
        <v>61346</v>
      </c>
      <c r="E44" s="84">
        <f>'[16]Conso THB'!$BM$100</f>
        <v>80629.5</v>
      </c>
      <c r="F44" s="84">
        <f>'[16]Conso THB'!$AC$100</f>
        <v>85266.07</v>
      </c>
      <c r="G44" s="84">
        <f>'[16]Conso THB'!$AB$100</f>
        <v>73293.569863471726</v>
      </c>
      <c r="H44" s="84">
        <f>'[8]Conso THB'!$G$101</f>
        <v>83606.256000000008</v>
      </c>
      <c r="I44" s="84">
        <f>'[4]Conso THB'!$G$101</f>
        <v>102105.549</v>
      </c>
      <c r="J44" s="85">
        <f>'[5]Conso THB'!$G$101</f>
        <v>95785.069999999992</v>
      </c>
      <c r="K44" s="84">
        <f>AE44</f>
        <v>92766.872999999992</v>
      </c>
      <c r="L44" s="86">
        <f>AI44</f>
        <v>117788.95699999999</v>
      </c>
      <c r="M44" s="84">
        <f>'[16]Conso THB'!$BC$100</f>
        <v>80750.8</v>
      </c>
      <c r="N44" s="84">
        <f>'[16]Conso THB'!$AQ$100</f>
        <v>81514.714000000007</v>
      </c>
      <c r="O44" s="84">
        <f>'[16]Conso THB'!$AH$100</f>
        <v>81631.187999999995</v>
      </c>
      <c r="P44" s="84">
        <f>'[16]Conso THB'!$Y$100</f>
        <v>85266.07</v>
      </c>
      <c r="Q44" s="84">
        <f>'[16]Conso THB'!$P$100</f>
        <v>82872.926999999996</v>
      </c>
      <c r="R44" s="84">
        <f>'[16]Conso THB'!$D$100</f>
        <v>82279.580249575112</v>
      </c>
      <c r="S44" s="84">
        <f>'[16]Conso THB'!$X$100</f>
        <v>80253.555769527709</v>
      </c>
      <c r="T44" s="84">
        <f>'[16]Conso THB'!$O$100</f>
        <v>73293.569863471726</v>
      </c>
      <c r="U44" s="84">
        <f>'[9]Conso THB'!$D$101</f>
        <v>72039.027667787741</v>
      </c>
      <c r="V44" s="84">
        <f>'[16]Conso THB'!$B$100</f>
        <v>79030.668024987623</v>
      </c>
      <c r="W44" s="84">
        <f>'[7]Conso THB'!$B$100</f>
        <v>84997.556000000011</v>
      </c>
      <c r="X44" s="84">
        <f>'[8]Conso THB'!$B$101</f>
        <v>83606.256000000008</v>
      </c>
      <c r="Y44" s="84">
        <f>'[9]Conso THB'!$B$101</f>
        <v>100455.768</v>
      </c>
      <c r="Z44" s="87">
        <f>'[10]Conso THB'!$B$101</f>
        <v>106954.18999999999</v>
      </c>
      <c r="AA44" s="87">
        <f>'[11]Conso THB'!$B$101</f>
        <v>99326.966000000015</v>
      </c>
      <c r="AB44" s="84">
        <f>I44</f>
        <v>102105.549</v>
      </c>
      <c r="AC44" s="84">
        <f>'[17]Conso THB'!$B$101</f>
        <v>98501.267000000007</v>
      </c>
      <c r="AD44" s="84">
        <f>'[13]Conso THB'!$B$101</f>
        <v>106689.10248027041</v>
      </c>
      <c r="AE44" s="84">
        <f>'[14]Conso THB'!$B$101</f>
        <v>92766.872999999992</v>
      </c>
      <c r="AF44" s="84">
        <f>J44</f>
        <v>95785.069999999992</v>
      </c>
      <c r="AG44" s="84">
        <f>'[15]Conso THB'!$B$101</f>
        <v>90728.180000000008</v>
      </c>
      <c r="AH44" s="84">
        <f>'[12]Conso THB'!$B$101</f>
        <v>113545.432</v>
      </c>
      <c r="AI44" s="88">
        <f>'[6]Conso THB'!$B$103</f>
        <v>117788.95699999999</v>
      </c>
      <c r="AJ44" s="84">
        <f>Z44</f>
        <v>106954.18999999999</v>
      </c>
      <c r="AK44" s="84">
        <f>AB44</f>
        <v>102105.549</v>
      </c>
      <c r="AL44" s="84">
        <f>AD44</f>
        <v>106689.10248027041</v>
      </c>
      <c r="AM44" s="84">
        <f>AF44</f>
        <v>95785.069999999992</v>
      </c>
      <c r="AN44" s="84">
        <f>'[12]Conso THB'!$G$101</f>
        <v>113545.432</v>
      </c>
      <c r="AO44" s="84"/>
      <c r="AP44" s="84"/>
      <c r="AQ44" s="84"/>
      <c r="AR44" s="84"/>
      <c r="AS44" s="84"/>
    </row>
    <row r="45" spans="1:48">
      <c r="A45" s="3" t="s">
        <v>81</v>
      </c>
      <c r="B45" s="2" t="s">
        <v>50</v>
      </c>
      <c r="C45" s="80">
        <f>-'[16]Conso THB'!$EP$57-'[16]Conso THB'!$EP$101</f>
        <v>-2024</v>
      </c>
      <c r="D45" s="80">
        <f>-'[16]Conso THB'!$CZ$57-'[16]Conso THB'!$CZ$101</f>
        <v>-17707</v>
      </c>
      <c r="E45" s="80">
        <f>-'[16]Conso THB'!$BM$57-'[16]Conso THB'!$BM$101</f>
        <v>-4630.9381259041384</v>
      </c>
      <c r="F45" s="80">
        <f>-'[16]Conso THB'!$AC$57-'[16]Conso THB'!$AC$101</f>
        <v>-4352.061463102631</v>
      </c>
      <c r="G45" s="80">
        <f>-'[16]Conso THB'!$AB$57-'[16]Conso THB'!$AB$101</f>
        <v>-10638.0321247388</v>
      </c>
      <c r="H45" s="80">
        <f>-'[8]Conso THB'!$G$57-'[8]Conso THB'!$G$102</f>
        <v>-4272.0353064633837</v>
      </c>
      <c r="I45" s="80">
        <f>-'[4]Conso THB'!$G$57-'[4]Conso THB'!$G$102</f>
        <v>-4577.0329008658773</v>
      </c>
      <c r="J45" s="81">
        <f>-'[5]Conso THB'!$G$57-'[5]Conso THB'!$G$102</f>
        <v>-6818.0423681090706</v>
      </c>
      <c r="K45" s="80">
        <f>AE45</f>
        <v>-4556.8997920644651</v>
      </c>
      <c r="L45" s="86">
        <f>AI45</f>
        <v>-11283.192469024207</v>
      </c>
      <c r="M45" s="80">
        <f>-'[16]Conso THB'!$BC$57-'[16]Conso THB'!$BC$101</f>
        <v>-5740.9826943598855</v>
      </c>
      <c r="N45" s="80">
        <f>-'[16]Conso THB'!$AQ$57-'[16]Conso THB'!$AQ$101</f>
        <v>-4421.292337585799</v>
      </c>
      <c r="O45" s="80">
        <f>-'[16]Conso THB'!$AH$57-'[16]Conso THB'!$AH$101</f>
        <v>-3779.4263705572603</v>
      </c>
      <c r="P45" s="80">
        <f>-'[16]Conso THB'!$Y$57-'[16]Conso THB'!$Y$101</f>
        <v>-4352.061463102631</v>
      </c>
      <c r="Q45" s="80">
        <f>-'[16]Conso THB'!$P$57-'[16]Conso THB'!$P$101</f>
        <v>-4517.9709426267864</v>
      </c>
      <c r="R45" s="80">
        <f>-'[16]Conso THB'!$D$57-'[16]Conso THB'!$D$101</f>
        <v>-4031.4262709832465</v>
      </c>
      <c r="S45" s="80">
        <f>-'[16]Conso THB'!$X$57-'[16]Conso THB'!$X$101</f>
        <v>-3809.3287502371727</v>
      </c>
      <c r="T45" s="80">
        <f>-'[16]Conso THB'!$O$57-'[16]Conso THB'!$O$101</f>
        <v>-10638.0321247388</v>
      </c>
      <c r="U45" s="80">
        <f>-'[9]Conso THB'!$D$57-'[9]Conso THB'!$D$102</f>
        <v>-14262.041877536063</v>
      </c>
      <c r="V45" s="80">
        <f>-'[16]Conso THB'!$B$57-'[16]Conso THB'!$B$101</f>
        <v>-6032.5445152640605</v>
      </c>
      <c r="W45" s="80">
        <f>-'[7]Conso THB'!$B$57-'[7]Conso THB'!$B$101</f>
        <v>-5298.3026745105944</v>
      </c>
      <c r="X45" s="80">
        <f>-'[8]Conso THB'!$B$57-'[8]Conso THB'!$B$102</f>
        <v>-4272.0353064633837</v>
      </c>
      <c r="Y45" s="80">
        <f>-'[9]Conso THB'!$B$57-'[9]Conso THB'!$B$102</f>
        <v>-7833.3299474426831</v>
      </c>
      <c r="Z45" s="80">
        <f>-'[10]Conso THB'!$B$57-'[10]Conso THB'!$B$102</f>
        <v>-4613.255366141505</v>
      </c>
      <c r="AA45" s="80">
        <f>-'[11]Conso THB'!$B$57-'[11]Conso THB'!$B$102</f>
        <v>-4091.5626393348684</v>
      </c>
      <c r="AB45" s="80">
        <f>I45</f>
        <v>-4577.0329008658773</v>
      </c>
      <c r="AC45" s="80">
        <f>-'[17]Conso THB'!$B$57-'[17]Conso THB'!$B$102</f>
        <v>-5128.0085650903056</v>
      </c>
      <c r="AD45" s="80">
        <f>-'[13]Conso THB'!$B$57-'[13]Conso THB'!$B$102</f>
        <v>-5514.4246033218324</v>
      </c>
      <c r="AE45" s="80">
        <f>-'[14]Conso THB'!$B$57-'[14]Conso THB'!$B$102</f>
        <v>-4556.8997920644651</v>
      </c>
      <c r="AF45" s="80">
        <f>J45</f>
        <v>-6818.0423681090706</v>
      </c>
      <c r="AG45" s="80">
        <f>-'[15]Conso THB'!$B$57-'[15]Conso THB'!$B$102</f>
        <v>-13206.035969011054</v>
      </c>
      <c r="AH45" s="80">
        <f>-'[12]Conso THB'!$B$57-'[12]Conso THB'!$B$102</f>
        <v>-22662.716438063755</v>
      </c>
      <c r="AI45" s="83">
        <f>-'[6]Conso THB'!$B$59-'[6]Conso THB'!$B$104</f>
        <v>-11283.192469024207</v>
      </c>
      <c r="AJ45" s="80">
        <f>Z45</f>
        <v>-4613.255366141505</v>
      </c>
      <c r="AK45" s="80">
        <f>AB45</f>
        <v>-4577.0329008658773</v>
      </c>
      <c r="AL45" s="80">
        <f>AD45</f>
        <v>-5514.4246033218324</v>
      </c>
      <c r="AM45" s="80">
        <f>AF45</f>
        <v>-6818.0423681090706</v>
      </c>
      <c r="AN45" s="80">
        <f>-'[12]Conso THB'!$G$57-'[12]Conso THB'!$G$102</f>
        <v>-22662.716438063755</v>
      </c>
      <c r="AO45" s="80"/>
      <c r="AP45" s="80"/>
      <c r="AQ45" s="80"/>
      <c r="AR45" s="80"/>
      <c r="AS45" s="80"/>
    </row>
    <row r="46" spans="1:48" ht="12.75" customHeight="1">
      <c r="A46" s="3" t="s">
        <v>82</v>
      </c>
      <c r="B46" s="2" t="s">
        <v>50</v>
      </c>
      <c r="C46" s="84">
        <f t="shared" ref="C46" si="92">C44+C45</f>
        <v>30044</v>
      </c>
      <c r="D46" s="84">
        <f>D44+D45</f>
        <v>43639</v>
      </c>
      <c r="E46" s="84">
        <f>E44+E45</f>
        <v>75998.56187409586</v>
      </c>
      <c r="F46" s="84">
        <f>F44+F45</f>
        <v>80914.008536897381</v>
      </c>
      <c r="G46" s="84">
        <f>G44+G45</f>
        <v>62655.537738732928</v>
      </c>
      <c r="H46" s="84">
        <f t="shared" ref="H46:K46" si="93">H44+H45</f>
        <v>79334.220693536627</v>
      </c>
      <c r="I46" s="84">
        <f t="shared" si="93"/>
        <v>97528.516099134125</v>
      </c>
      <c r="J46" s="85">
        <f t="shared" si="93"/>
        <v>88967.027631890916</v>
      </c>
      <c r="K46" s="84">
        <f t="shared" si="93"/>
        <v>88209.973207935531</v>
      </c>
      <c r="L46" s="123">
        <f>L44+L45</f>
        <v>106505.76453097579</v>
      </c>
      <c r="M46" s="84">
        <f t="shared" ref="M46:AN46" si="94">M44+M45</f>
        <v>75009.817305640114</v>
      </c>
      <c r="N46" s="84">
        <f t="shared" si="94"/>
        <v>77093.421662414214</v>
      </c>
      <c r="O46" s="84">
        <f t="shared" si="94"/>
        <v>77851.761629442728</v>
      </c>
      <c r="P46" s="84">
        <f t="shared" si="94"/>
        <v>80914.008536897381</v>
      </c>
      <c r="Q46" s="84">
        <f t="shared" si="94"/>
        <v>78354.956057373216</v>
      </c>
      <c r="R46" s="84">
        <f t="shared" si="94"/>
        <v>78248.153978591872</v>
      </c>
      <c r="S46" s="84">
        <f t="shared" si="94"/>
        <v>76444.227019290542</v>
      </c>
      <c r="T46" s="84">
        <f t="shared" si="94"/>
        <v>62655.537738732928</v>
      </c>
      <c r="U46" s="84">
        <f t="shared" si="94"/>
        <v>57776.985790251681</v>
      </c>
      <c r="V46" s="84">
        <f t="shared" si="94"/>
        <v>72998.123509723562</v>
      </c>
      <c r="W46" s="84">
        <f t="shared" si="94"/>
        <v>79699.253325489422</v>
      </c>
      <c r="X46" s="84">
        <f t="shared" si="94"/>
        <v>79334.220693536627</v>
      </c>
      <c r="Y46" s="84">
        <f t="shared" si="94"/>
        <v>92622.438052557307</v>
      </c>
      <c r="Z46" s="87">
        <f t="shared" si="94"/>
        <v>102340.93463385849</v>
      </c>
      <c r="AA46" s="87">
        <f t="shared" si="94"/>
        <v>95235.40336066515</v>
      </c>
      <c r="AB46" s="84">
        <f t="shared" si="94"/>
        <v>97528.516099134125</v>
      </c>
      <c r="AC46" s="84">
        <f t="shared" si="94"/>
        <v>93373.258434909701</v>
      </c>
      <c r="AD46" s="84">
        <f t="shared" si="94"/>
        <v>101174.67787694857</v>
      </c>
      <c r="AE46" s="84">
        <f t="shared" si="94"/>
        <v>88209.973207935531</v>
      </c>
      <c r="AF46" s="84">
        <f>AF44+AF45</f>
        <v>88967.027631890916</v>
      </c>
      <c r="AG46" s="84">
        <f t="shared" ref="AG46:AH46" si="95">AG44+AG45</f>
        <v>77522.144030988959</v>
      </c>
      <c r="AH46" s="84">
        <f t="shared" si="95"/>
        <v>90882.715561936246</v>
      </c>
      <c r="AI46" s="88">
        <f>AI44+AI45</f>
        <v>106505.76453097579</v>
      </c>
      <c r="AJ46" s="84">
        <f t="shared" si="94"/>
        <v>102340.93463385849</v>
      </c>
      <c r="AK46" s="84">
        <f t="shared" si="94"/>
        <v>97528.516099134125</v>
      </c>
      <c r="AL46" s="84">
        <f t="shared" si="94"/>
        <v>101174.67787694857</v>
      </c>
      <c r="AM46" s="84">
        <f t="shared" si="94"/>
        <v>88967.027631890916</v>
      </c>
      <c r="AN46" s="84">
        <f t="shared" si="94"/>
        <v>90882.715561936246</v>
      </c>
      <c r="AO46" s="84">
        <f>'[1]Historical Financials in USD'!AO46*AO8</f>
        <v>42651.825261339967</v>
      </c>
      <c r="AP46" s="84"/>
      <c r="AQ46" s="84"/>
      <c r="AR46" s="84"/>
      <c r="AS46" s="84"/>
    </row>
    <row r="47" spans="1:48" ht="12.75" customHeight="1">
      <c r="A47" s="3" t="s">
        <v>83</v>
      </c>
      <c r="B47" s="2" t="s">
        <v>50</v>
      </c>
      <c r="C47" s="80">
        <f>-'[16]Conso THB'!$EP$103</f>
        <v>0</v>
      </c>
      <c r="D47" s="80">
        <f>-'[16]Conso THB'!$CZ$103</f>
        <v>-6692</v>
      </c>
      <c r="E47" s="80">
        <f>-'[16]Conso THB'!$BM$103</f>
        <v>-4937.3659093819924</v>
      </c>
      <c r="F47" s="80">
        <f>-'[16]Conso THB'!$AC$103</f>
        <v>-7922.7349999999997</v>
      </c>
      <c r="G47" s="80">
        <f>-'[16]Conso THB'!$AB$103</f>
        <v>-4642.7640000000001</v>
      </c>
      <c r="H47" s="80">
        <f>-'[8]Conso THB'!$G$104</f>
        <v>-12037.809103577802</v>
      </c>
      <c r="I47" s="80">
        <f>-'[4]Conso THB'!$G$104</f>
        <v>-16490.128710519584</v>
      </c>
      <c r="J47" s="81">
        <f>-'[5]Conso THB'!$G$104</f>
        <v>-24952.00588455168</v>
      </c>
      <c r="K47" s="80">
        <f>AE47</f>
        <v>-25136.717668448793</v>
      </c>
      <c r="L47" s="124">
        <f>AI47</f>
        <v>-27315.63193477357</v>
      </c>
      <c r="M47" s="80">
        <f>-'[16]Conso THB'!$BC$103</f>
        <v>-7102.0716410933301</v>
      </c>
      <c r="N47" s="80">
        <f>-'[16]Conso THB'!$AQ$103</f>
        <v>-6676.3022775914696</v>
      </c>
      <c r="O47" s="80">
        <f>-'[16]Conso THB'!$AH$103</f>
        <v>-6705.2207351291809</v>
      </c>
      <c r="P47" s="80">
        <f>-'[16]Conso THB'!$Y$103</f>
        <v>-7922.7349999999997</v>
      </c>
      <c r="Q47" s="80">
        <f>-'[16]Conso THB'!$P$103</f>
        <v>-5556.8604547102332</v>
      </c>
      <c r="R47" s="80">
        <f>-'[16]Conso THB'!$D$103</f>
        <v>-6189.1612591057401</v>
      </c>
      <c r="S47" s="80">
        <f>-'[16]Conso THB'!$X$103</f>
        <v>-6188.1859999999997</v>
      </c>
      <c r="T47" s="80">
        <f>-'[16]Conso THB'!$O$103</f>
        <v>-4642.7640000000001</v>
      </c>
      <c r="U47" s="80">
        <f>-'[9]Conso THB'!$D$104</f>
        <v>-5158.0341910898405</v>
      </c>
      <c r="V47" s="80">
        <f>-'[16]Conso THB'!$B$103</f>
        <v>-5568.6256771612698</v>
      </c>
      <c r="W47" s="80">
        <f>-'[7]Conso THB'!$B$103</f>
        <v>-10528.984727162579</v>
      </c>
      <c r="X47" s="80">
        <f>-'[8]Conso THB'!$B$104</f>
        <v>-12037.809103577802</v>
      </c>
      <c r="Y47" s="80">
        <f>-'[9]Conso THB'!$B$104</f>
        <v>-27717.566694500369</v>
      </c>
      <c r="Z47" s="80">
        <f>-'[10]Conso THB'!$B$104</f>
        <v>-14042.493097259294</v>
      </c>
      <c r="AA47" s="80">
        <f>-'[11]Conso THB'!$B$104</f>
        <v>-14262.751060759279</v>
      </c>
      <c r="AB47" s="80">
        <f>I47</f>
        <v>-16490.128710519584</v>
      </c>
      <c r="AC47" s="80">
        <f>-'[17]Conso THB'!$B$104</f>
        <v>-18421.679024350226</v>
      </c>
      <c r="AD47" s="80">
        <f>-'[13]Conso THB'!$B$104</f>
        <v>-21586.360719009928</v>
      </c>
      <c r="AE47" s="80">
        <f>-'[14]Conso THB'!$B$104</f>
        <v>-25136.717668448793</v>
      </c>
      <c r="AF47" s="80">
        <f>J47</f>
        <v>-24952.00588455168</v>
      </c>
      <c r="AG47" s="80">
        <f>-'[15]Conso THB'!$B$104</f>
        <v>-27236.301417741004</v>
      </c>
      <c r="AH47" s="80">
        <f>-'[12]Conso THB'!$B$104</f>
        <v>-26376.062210200398</v>
      </c>
      <c r="AI47" s="83">
        <f>-'[6]Conso THB'!$B$106</f>
        <v>-27315.63193477357</v>
      </c>
      <c r="AJ47" s="80">
        <f>Z47</f>
        <v>-14042.493097259294</v>
      </c>
      <c r="AK47" s="80">
        <f>AB47</f>
        <v>-16490.128710519584</v>
      </c>
      <c r="AL47" s="80">
        <f>AD47</f>
        <v>-21586.360719009928</v>
      </c>
      <c r="AM47" s="80">
        <f>AF47</f>
        <v>-24952.00588455168</v>
      </c>
      <c r="AN47" s="80">
        <f>'[12]Conso THB'!$G$104</f>
        <v>26376.062210200398</v>
      </c>
      <c r="AO47" s="80">
        <f>'[1]Historical Financials in USD'!AO47*AO9</f>
        <v>-3963.8778075</v>
      </c>
      <c r="AP47" s="80"/>
      <c r="AQ47" s="80"/>
      <c r="AR47" s="80"/>
      <c r="AS47" s="80"/>
    </row>
    <row r="48" spans="1:48" s="120" customFormat="1" ht="12.75" customHeight="1">
      <c r="A48" s="120" t="s">
        <v>84</v>
      </c>
      <c r="B48" s="6" t="s">
        <v>50</v>
      </c>
      <c r="C48" s="125">
        <f t="shared" ref="C48:H48" si="96">C46+C47</f>
        <v>30044</v>
      </c>
      <c r="D48" s="125">
        <f t="shared" si="96"/>
        <v>36947</v>
      </c>
      <c r="E48" s="125">
        <f t="shared" si="96"/>
        <v>71061.195964713872</v>
      </c>
      <c r="F48" s="125">
        <f t="shared" si="96"/>
        <v>72991.273536897381</v>
      </c>
      <c r="G48" s="125">
        <f t="shared" si="96"/>
        <v>58012.773738732925</v>
      </c>
      <c r="H48" s="125">
        <f t="shared" si="96"/>
        <v>67296.411589958821</v>
      </c>
      <c r="I48" s="125">
        <f>I46+I47</f>
        <v>81038.387388614545</v>
      </c>
      <c r="J48" s="126">
        <f>J46+J47</f>
        <v>64015.02174733924</v>
      </c>
      <c r="K48" s="125">
        <f>K46+K47</f>
        <v>63073.255539486738</v>
      </c>
      <c r="L48" s="73">
        <f>L46+L47</f>
        <v>79190.132596202224</v>
      </c>
      <c r="M48" s="125">
        <f t="shared" ref="M48:AD48" si="97">M46+M47</f>
        <v>67907.74566454679</v>
      </c>
      <c r="N48" s="125">
        <f t="shared" si="97"/>
        <v>70417.119384822741</v>
      </c>
      <c r="O48" s="125">
        <f t="shared" si="97"/>
        <v>71146.540894313541</v>
      </c>
      <c r="P48" s="125">
        <f t="shared" si="97"/>
        <v>72991.273536897381</v>
      </c>
      <c r="Q48" s="125">
        <f t="shared" si="97"/>
        <v>72798.095602662986</v>
      </c>
      <c r="R48" s="125">
        <f t="shared" si="97"/>
        <v>72058.992719486138</v>
      </c>
      <c r="S48" s="125">
        <f t="shared" si="97"/>
        <v>70256.04101929054</v>
      </c>
      <c r="T48" s="125">
        <f t="shared" si="97"/>
        <v>58012.773738732925</v>
      </c>
      <c r="U48" s="125">
        <f t="shared" si="97"/>
        <v>52618.951599161839</v>
      </c>
      <c r="V48" s="125">
        <f t="shared" si="97"/>
        <v>67429.497832562294</v>
      </c>
      <c r="W48" s="125">
        <f t="shared" si="97"/>
        <v>69170.268598326846</v>
      </c>
      <c r="X48" s="125">
        <f t="shared" si="97"/>
        <v>67296.411589958821</v>
      </c>
      <c r="Y48" s="125">
        <f t="shared" si="97"/>
        <v>64904.871358056938</v>
      </c>
      <c r="Z48" s="127">
        <f t="shared" si="97"/>
        <v>88298.441536599188</v>
      </c>
      <c r="AA48" s="127">
        <f t="shared" si="97"/>
        <v>80972.652299905865</v>
      </c>
      <c r="AB48" s="125">
        <f t="shared" si="97"/>
        <v>81038.387388614545</v>
      </c>
      <c r="AC48" s="125">
        <f t="shared" si="97"/>
        <v>74951.579410559469</v>
      </c>
      <c r="AD48" s="125">
        <f t="shared" si="97"/>
        <v>79588.31715793864</v>
      </c>
      <c r="AE48" s="125">
        <f>AE46+AE47</f>
        <v>63073.255539486738</v>
      </c>
      <c r="AF48" s="125">
        <f>AF46+AF47</f>
        <v>64015.02174733924</v>
      </c>
      <c r="AG48" s="125">
        <f>AG46+AG47</f>
        <v>50285.842613247951</v>
      </c>
      <c r="AH48" s="125">
        <f>AH46+AH47</f>
        <v>64506.653351735848</v>
      </c>
      <c r="AI48" s="75">
        <f>AI46+AI47</f>
        <v>79190.132596202224</v>
      </c>
      <c r="AJ48" s="125">
        <f t="shared" ref="AJ48:AN48" si="98">AJ46+AJ47</f>
        <v>88298.441536599188</v>
      </c>
      <c r="AK48" s="125">
        <f t="shared" si="98"/>
        <v>81038.387388614545</v>
      </c>
      <c r="AL48" s="125">
        <f t="shared" si="98"/>
        <v>79588.31715793864</v>
      </c>
      <c r="AM48" s="125">
        <f t="shared" si="98"/>
        <v>64015.02174733924</v>
      </c>
      <c r="AN48" s="125">
        <f t="shared" si="98"/>
        <v>117258.77777213664</v>
      </c>
      <c r="AO48" s="125">
        <f>AO46+AO47</f>
        <v>38687.947453839966</v>
      </c>
      <c r="AP48" s="125"/>
      <c r="AQ48" s="125"/>
      <c r="AR48" s="125"/>
      <c r="AS48" s="125"/>
    </row>
    <row r="49" spans="1:45" s="120" customFormat="1">
      <c r="A49" s="120" t="s">
        <v>85</v>
      </c>
      <c r="B49" s="6" t="s">
        <v>50</v>
      </c>
      <c r="C49" s="125">
        <f>'[16]Conso THB'!$EP$94</f>
        <v>32241</v>
      </c>
      <c r="D49" s="125">
        <f>'[16]Conso THB'!$CZ$94</f>
        <v>58766</v>
      </c>
      <c r="E49" s="125">
        <f>'[16]Conso THB'!$BM$94</f>
        <v>56564.706999999995</v>
      </c>
      <c r="F49" s="125">
        <f>'[17]Conso THB'!$CW$95+'[13]Restate 2015'!$Q$58/1000</f>
        <v>60434.997394367107</v>
      </c>
      <c r="G49" s="125">
        <f>'[8]Conso THB'!$H$95</f>
        <v>74609.631248535894</v>
      </c>
      <c r="H49" s="125">
        <f>'[8]Conso THB'!$G$95</f>
        <v>82952.963000000003</v>
      </c>
      <c r="I49" s="125">
        <f>'[4]Conso THB'!$G$95</f>
        <v>91814.931000000011</v>
      </c>
      <c r="J49" s="126">
        <f>'[5]Conso THB'!$G$95</f>
        <v>118986.692</v>
      </c>
      <c r="K49" s="125">
        <f>AE49</f>
        <v>110635.743</v>
      </c>
      <c r="L49" s="73">
        <f>AI49</f>
        <v>150032.22500000001</v>
      </c>
      <c r="M49" s="125">
        <f>'[16]Conso THB'!$BC$94</f>
        <v>54007.3</v>
      </c>
      <c r="N49" s="125">
        <f>'[16]Conso THB'!$AQ$94</f>
        <v>57234.82</v>
      </c>
      <c r="O49" s="125">
        <f>'[16]Conso THB'!$AH$94</f>
        <v>58760.79</v>
      </c>
      <c r="P49" s="125">
        <f>'[16]Conso THB'!$Y$94</f>
        <v>61567.762999999999</v>
      </c>
      <c r="Q49" s="125">
        <f>'[16]Conso THB'!$P$94+'[13]Restate 2015'!$B$58/1000</f>
        <v>60309.250280780216</v>
      </c>
      <c r="R49" s="125">
        <f>'[16]Conso THB'!$D$94+'[13]Restate 2015'!$C$58/1000</f>
        <v>62078.504239036483</v>
      </c>
      <c r="S49" s="125">
        <f>'[16]Conso THB'!$X$94+'[13]Restate 2015'!$E$58/1000</f>
        <v>60179.359454840363</v>
      </c>
      <c r="T49" s="125">
        <f>G49</f>
        <v>74609.631248535894</v>
      </c>
      <c r="U49" s="125">
        <f>'[9]Conso THB'!$D$95</f>
        <v>72060.992946355676</v>
      </c>
      <c r="V49" s="125">
        <f>'[10]Conso THB'!$H$95</f>
        <v>79427.692673019992</v>
      </c>
      <c r="W49" s="125">
        <f>'[11]Conso THB'!$D$95</f>
        <v>84081.222673019991</v>
      </c>
      <c r="X49" s="125">
        <f>'[8]Conso THB'!$B$95</f>
        <v>82952.963000000003</v>
      </c>
      <c r="Y49" s="125">
        <f>'[9]Conso THB'!$B$95</f>
        <v>86293.237000000008</v>
      </c>
      <c r="Z49" s="127">
        <f>'[10]Conso THB'!$B$95</f>
        <v>89232.435000000012</v>
      </c>
      <c r="AA49" s="127">
        <f>'[11]Conso THB'!$B$95</f>
        <v>89248.565000000002</v>
      </c>
      <c r="AB49" s="125">
        <f>I49</f>
        <v>91814.931000000011</v>
      </c>
      <c r="AC49" s="125">
        <f>'[17]Conso THB'!$B$95</f>
        <v>93440.168000000005</v>
      </c>
      <c r="AD49" s="125">
        <f>'[13]Conso THB'!$B$95</f>
        <v>94796.490549151844</v>
      </c>
      <c r="AE49" s="125">
        <f>'[14]Conso THB'!$B$95</f>
        <v>110635.743</v>
      </c>
      <c r="AF49" s="125">
        <f>J49</f>
        <v>118986.692</v>
      </c>
      <c r="AG49" s="125">
        <f>'[15]Conso THB'!$B$95</f>
        <v>127912.88099999999</v>
      </c>
      <c r="AH49" s="125">
        <f>'[12]Conso THB'!$B$95</f>
        <v>142781.38940000001</v>
      </c>
      <c r="AI49" s="75">
        <f>'[6]Conso THB'!$B$97</f>
        <v>150032.22500000001</v>
      </c>
      <c r="AJ49" s="125">
        <f>Z49</f>
        <v>89232.435000000012</v>
      </c>
      <c r="AK49" s="125">
        <f>AB49</f>
        <v>91814.931000000011</v>
      </c>
      <c r="AL49" s="125">
        <f>AD49</f>
        <v>94796.490549151844</v>
      </c>
      <c r="AM49" s="125">
        <f>AF49</f>
        <v>118986.692</v>
      </c>
      <c r="AN49" s="125">
        <f>'[12]Conso THB'!$G$95</f>
        <v>142781.43700000001</v>
      </c>
      <c r="AO49" s="125">
        <f>'[1]Historical Financials in USD'!AO49*$AO$8</f>
        <v>146394.20837888209</v>
      </c>
      <c r="AP49" s="125"/>
      <c r="AQ49" s="125"/>
      <c r="AR49" s="125"/>
      <c r="AS49" s="125"/>
    </row>
    <row r="50" spans="1:45">
      <c r="A50" s="3" t="s">
        <v>86</v>
      </c>
      <c r="B50" s="2" t="s">
        <v>50</v>
      </c>
      <c r="C50" s="84">
        <f t="shared" ref="C50:H50" si="99">C49-C51-C52</f>
        <v>31908</v>
      </c>
      <c r="D50" s="84">
        <f t="shared" si="99"/>
        <v>58627</v>
      </c>
      <c r="E50" s="84">
        <f t="shared" si="99"/>
        <v>56237.407999999996</v>
      </c>
      <c r="F50" s="84">
        <f t="shared" si="99"/>
        <v>59389.54939436711</v>
      </c>
      <c r="G50" s="84">
        <f t="shared" si="99"/>
        <v>57679.351575515895</v>
      </c>
      <c r="H50" s="84">
        <f t="shared" si="99"/>
        <v>64951.17</v>
      </c>
      <c r="I50" s="84">
        <f>I49-I51-I52</f>
        <v>74181.302000000011</v>
      </c>
      <c r="J50" s="85">
        <f>J49-J51-J52</f>
        <v>102187.579</v>
      </c>
      <c r="K50" s="84">
        <f>K49-K51-K52</f>
        <v>93755.369000000006</v>
      </c>
      <c r="L50" s="86">
        <f>L49-L51-L52</f>
        <v>129303.798</v>
      </c>
      <c r="M50" s="84">
        <f t="shared" ref="M50:AN50" si="100">M49-M51-M52</f>
        <v>53676.200000000004</v>
      </c>
      <c r="N50" s="84">
        <f t="shared" si="100"/>
        <v>56839.042999999998</v>
      </c>
      <c r="O50" s="84">
        <f t="shared" si="100"/>
        <v>58253.675999999999</v>
      </c>
      <c r="P50" s="84">
        <f t="shared" si="100"/>
        <v>60505.519</v>
      </c>
      <c r="Q50" s="84">
        <f t="shared" si="100"/>
        <v>59202.079452194121</v>
      </c>
      <c r="R50" s="84">
        <f t="shared" si="100"/>
        <v>59878.159357184755</v>
      </c>
      <c r="S50" s="84">
        <f t="shared" si="100"/>
        <v>58153.637914024781</v>
      </c>
      <c r="T50" s="84">
        <f t="shared" si="100"/>
        <v>57679.351575515895</v>
      </c>
      <c r="U50" s="84">
        <f t="shared" si="100"/>
        <v>55410.766585963509</v>
      </c>
      <c r="V50" s="84">
        <f t="shared" si="100"/>
        <v>62500.273999999998</v>
      </c>
      <c r="W50" s="84">
        <f t="shared" si="100"/>
        <v>66011.046999999991</v>
      </c>
      <c r="X50" s="84">
        <f t="shared" si="100"/>
        <v>64951.17</v>
      </c>
      <c r="Y50" s="84">
        <f t="shared" si="100"/>
        <v>68269.364000000001</v>
      </c>
      <c r="Z50" s="87">
        <f t="shared" si="100"/>
        <v>71298.379000000015</v>
      </c>
      <c r="AA50" s="87">
        <f t="shared" si="100"/>
        <v>71334.835000000006</v>
      </c>
      <c r="AB50" s="84">
        <f t="shared" si="100"/>
        <v>74181.302000000011</v>
      </c>
      <c r="AC50" s="84">
        <f t="shared" si="100"/>
        <v>75931.697</v>
      </c>
      <c r="AD50" s="84">
        <f t="shared" si="100"/>
        <v>77913.546263572178</v>
      </c>
      <c r="AE50" s="84">
        <f t="shared" si="100"/>
        <v>93755.369000000006</v>
      </c>
      <c r="AF50" s="84">
        <f>AF49-AF51-AF52</f>
        <v>102187.579</v>
      </c>
      <c r="AG50" s="84">
        <f t="shared" ref="AG50:AH50" si="101">AG49-AG51-AG52</f>
        <v>111252.045</v>
      </c>
      <c r="AH50" s="84">
        <f t="shared" si="101"/>
        <v>124766.10840000001</v>
      </c>
      <c r="AI50" s="88">
        <f>AI49-AI51-AI52</f>
        <v>129303.798</v>
      </c>
      <c r="AJ50" s="84">
        <f t="shared" si="100"/>
        <v>71298.379000000015</v>
      </c>
      <c r="AK50" s="84">
        <f t="shared" si="100"/>
        <v>74181.302000000011</v>
      </c>
      <c r="AL50" s="84">
        <f t="shared" si="100"/>
        <v>77913.546263572178</v>
      </c>
      <c r="AM50" s="84">
        <f t="shared" si="100"/>
        <v>102187.579</v>
      </c>
      <c r="AN50" s="84">
        <f t="shared" si="100"/>
        <v>124766.156</v>
      </c>
      <c r="AO50" s="84">
        <f>'[1]Historical Financials in USD'!AO50*$AO$8</f>
        <v>128451.14675994893</v>
      </c>
      <c r="AP50" s="84"/>
      <c r="AQ50" s="84"/>
      <c r="AR50" s="84"/>
      <c r="AS50" s="84"/>
    </row>
    <row r="51" spans="1:45">
      <c r="A51" s="3" t="s">
        <v>87</v>
      </c>
      <c r="B51" s="2" t="s">
        <v>50</v>
      </c>
      <c r="C51" s="84">
        <f>'[1]Historical Financials in USD'!C51*'[1]Historical Financials in USD'!C9</f>
        <v>333</v>
      </c>
      <c r="D51" s="84">
        <f>'[1]Historical Financials in USD'!D51*'[1]Historical Financials in USD'!D9</f>
        <v>139</v>
      </c>
      <c r="E51" s="84">
        <f>'[1]Historical Financials in USD'!E51*'[1]Historical Financials in USD'!E9</f>
        <v>327.29899999999998</v>
      </c>
      <c r="F51" s="84">
        <f>1045.448</f>
        <v>1045.4480000000001</v>
      </c>
      <c r="G51" s="84">
        <f>'[1]Historical Financials in USD'!G51*'[1]Historical Financials in USD'!G9</f>
        <v>2056.2080000000001</v>
      </c>
      <c r="H51" s="84">
        <f>'[1]Historical Financials in USD'!H51*'[1]Historical Financials in USD'!H9</f>
        <v>3127.721</v>
      </c>
      <c r="I51" s="84">
        <f>'[4]Conso THB'!$G$94</f>
        <v>2759.5569999999998</v>
      </c>
      <c r="J51" s="85">
        <f>'[5]Conso THB'!$G$94</f>
        <v>1925.0409999999999</v>
      </c>
      <c r="K51" s="84">
        <f>AE51</f>
        <v>2006.3019999999999</v>
      </c>
      <c r="L51" s="86">
        <f>AI51</f>
        <v>5854.3549999999996</v>
      </c>
      <c r="M51" s="84">
        <f>'[1]Historical Financials in USD'!M51*'[1]Historical Financials in USD'!M9</f>
        <v>331.1</v>
      </c>
      <c r="N51" s="84">
        <f>'[1]Historical Financials in USD'!N51*'[1]Historical Financials in USD'!N9</f>
        <v>395.77699999999999</v>
      </c>
      <c r="O51" s="84">
        <f>'[1]Historical Financials in USD'!O51*'[1]Historical Financials in USD'!O9</f>
        <v>507.11399999999998</v>
      </c>
      <c r="P51" s="84">
        <f>'[1]Historical Financials in USD'!P51*'[1]Historical Financials in USD'!P9</f>
        <v>1062.2439999999999</v>
      </c>
      <c r="Q51" s="84">
        <f>'[1]Historical Financials in USD'!Q51*'[1]Historical Financials in USD'!Q9+'[13]Restate 2015'!$B$59/1000</f>
        <v>1107.1708285860973</v>
      </c>
      <c r="R51" s="84">
        <f>'[1]Historical Financials in USD'!R51*'[1]Historical Financials in USD'!R9+'[13]Restate 2015'!$C$59/1000</f>
        <v>2200.3448818517259</v>
      </c>
      <c r="S51" s="84">
        <f>'[1]Historical Financials in USD'!S51*'[1]Historical Financials in USD'!S9+'[13]Restate 2015'!$E$59/1000</f>
        <v>2025.7215408155839</v>
      </c>
      <c r="T51" s="84">
        <f>G51</f>
        <v>2056.2080000000001</v>
      </c>
      <c r="U51" s="84">
        <f>'[1]Historical Financials in USD'!U51*'[1]Historical Financials in USD'!U9</f>
        <v>1776.15468737217</v>
      </c>
      <c r="V51" s="84">
        <f>'[1]Historical Financials in USD'!V51*'[1]Historical Financials in USD'!V9</f>
        <v>2053.3470000000002</v>
      </c>
      <c r="W51" s="84">
        <f>'[11]Conso THB'!$D$94</f>
        <v>3196.1039999999998</v>
      </c>
      <c r="X51" s="84">
        <f>'[1]Historical Financials in USD'!X51*'[1]Historical Financials in USD'!X9</f>
        <v>3127.721</v>
      </c>
      <c r="Y51" s="84">
        <f>'[1]Historical Financials in USD'!Y51*'[1]Historical Financials in USD'!Y9</f>
        <v>3149.8009999999999</v>
      </c>
      <c r="Z51" s="87">
        <f>'[10]Conso THB'!$B$94</f>
        <v>3059.9839999999999</v>
      </c>
      <c r="AA51" s="87">
        <f>'[11]Conso THB'!$B$94</f>
        <v>3039.6579999999999</v>
      </c>
      <c r="AB51" s="84">
        <f t="shared" ref="AB51:AB52" si="102">I51</f>
        <v>2759.5569999999998</v>
      </c>
      <c r="AC51" s="84">
        <f>'[17]Conso THB'!$B$94</f>
        <v>2634.3989999999999</v>
      </c>
      <c r="AD51" s="84">
        <f>'[13]Conso THB'!$B$94</f>
        <v>2008.8726125596804</v>
      </c>
      <c r="AE51" s="84">
        <f>'[14]Conso THB'!$B$94</f>
        <v>2006.3019999999999</v>
      </c>
      <c r="AF51" s="84">
        <f>J51</f>
        <v>1925.0409999999999</v>
      </c>
      <c r="AG51" s="84">
        <f>'[15]Conso THB'!$B$94</f>
        <v>1786.7639999999999</v>
      </c>
      <c r="AH51" s="84">
        <f>'[12]Conso THB'!$B$94</f>
        <v>3141.2089999999998</v>
      </c>
      <c r="AI51" s="88">
        <f>'[6]Conso THB'!$B$96</f>
        <v>5854.3549999999996</v>
      </c>
      <c r="AJ51" s="84">
        <f t="shared" ref="AJ51:AJ52" si="103">Z51</f>
        <v>3059.9839999999999</v>
      </c>
      <c r="AK51" s="84">
        <f t="shared" ref="AK51:AK52" si="104">AB51</f>
        <v>2759.5569999999998</v>
      </c>
      <c r="AL51" s="84">
        <f t="shared" ref="AL51:AL52" si="105">AD51</f>
        <v>2008.8726125596804</v>
      </c>
      <c r="AM51" s="84">
        <f t="shared" ref="AM51:AM52" si="106">AF51</f>
        <v>1925.0409999999999</v>
      </c>
      <c r="AN51" s="84">
        <f>'[12]Conso THB'!$G$94</f>
        <v>3141.2089999999998</v>
      </c>
      <c r="AO51" s="84">
        <f>'[1]Historical Financials in USD'!AO51*$AO$8</f>
        <v>2943.0616189331663</v>
      </c>
      <c r="AP51" s="84"/>
      <c r="AQ51" s="84"/>
      <c r="AR51" s="84"/>
      <c r="AS51" s="84"/>
    </row>
    <row r="52" spans="1:45">
      <c r="A52" s="3" t="s">
        <v>88</v>
      </c>
      <c r="B52" s="2" t="s">
        <v>50</v>
      </c>
      <c r="C52" s="128">
        <f>'[16]Conso THB'!$EP$90</f>
        <v>0</v>
      </c>
      <c r="D52" s="128">
        <f>'[16]Conso THB'!$CZ$90</f>
        <v>0</v>
      </c>
      <c r="E52" s="128">
        <f>'[16]Conso THB'!$BM$90</f>
        <v>0</v>
      </c>
      <c r="F52" s="128">
        <f>'[16]Conso THB'!$AC$90</f>
        <v>0</v>
      </c>
      <c r="G52" s="84">
        <f>'[16]Conso THB'!$AB$90</f>
        <v>14874.07167302</v>
      </c>
      <c r="H52" s="84">
        <f>'[8]Conso THB'!$G$91</f>
        <v>14874.072</v>
      </c>
      <c r="I52" s="84">
        <f>'[4]Conso THB'!$G$91</f>
        <v>14874.072</v>
      </c>
      <c r="J52" s="85">
        <f>'[5]Conso THB'!$G$91</f>
        <v>14874.072</v>
      </c>
      <c r="K52" s="84">
        <f>AE52</f>
        <v>14874.072</v>
      </c>
      <c r="L52" s="86">
        <f>AI52</f>
        <v>14874.072</v>
      </c>
      <c r="M52" s="128">
        <f>'[16]Conso THB'!$BC$90</f>
        <v>0</v>
      </c>
      <c r="N52" s="128">
        <f>'[16]Conso THB'!$AQ$90</f>
        <v>0</v>
      </c>
      <c r="O52" s="128">
        <f>'[16]Conso THB'!$AH$90</f>
        <v>0</v>
      </c>
      <c r="P52" s="128">
        <f>'[16]Conso THB'!$Y$90</f>
        <v>0</v>
      </c>
      <c r="Q52" s="128">
        <f>'[16]Conso THB'!$P$90</f>
        <v>0</v>
      </c>
      <c r="R52" s="128">
        <f>'[16]Conso THB'!$D$90</f>
        <v>0</v>
      </c>
      <c r="S52" s="128">
        <f>'[16]Conso THB'!$X$90</f>
        <v>0</v>
      </c>
      <c r="T52" s="84">
        <f>'[16]Conso THB'!$O$90</f>
        <v>14874.07167302</v>
      </c>
      <c r="U52" s="84">
        <f>'[16]Conso THB'!$C$90</f>
        <v>14874.07167302</v>
      </c>
      <c r="V52" s="84">
        <f>'[16]Conso THB'!$B$90</f>
        <v>14874.07167302</v>
      </c>
      <c r="W52" s="84">
        <f>'[7]Conso THB'!$B$90</f>
        <v>14874.07167302</v>
      </c>
      <c r="X52" s="84">
        <f>'[8]Conso THB'!$B$91</f>
        <v>14874.072</v>
      </c>
      <c r="Y52" s="84">
        <f>'[9]Conso THB'!$B$91</f>
        <v>14874.072</v>
      </c>
      <c r="Z52" s="87">
        <f>'[10]Conso THB'!$B$91</f>
        <v>14874.072</v>
      </c>
      <c r="AA52" s="87">
        <f>'[11]Conso THB'!$B$91</f>
        <v>14874.072</v>
      </c>
      <c r="AB52" s="84">
        <f t="shared" si="102"/>
        <v>14874.072</v>
      </c>
      <c r="AC52" s="84">
        <f>'[17]Conso THB'!$B$91</f>
        <v>14874.072</v>
      </c>
      <c r="AD52" s="84">
        <f>'[13]Conso THB'!$B$91</f>
        <v>14874.07167302</v>
      </c>
      <c r="AE52" s="84">
        <f>'[14]Conso THB'!$B$91</f>
        <v>14874.072</v>
      </c>
      <c r="AF52" s="84">
        <f>J52</f>
        <v>14874.072</v>
      </c>
      <c r="AG52" s="84">
        <f>'[15]Conso THB'!$B$91</f>
        <v>14874.072</v>
      </c>
      <c r="AH52" s="84">
        <f>'[12]Conso THB'!$B$91</f>
        <v>14874.072</v>
      </c>
      <c r="AI52" s="88">
        <f>'[6]Conso THB'!$B$93</f>
        <v>14874.072</v>
      </c>
      <c r="AJ52" s="84">
        <f t="shared" si="103"/>
        <v>14874.072</v>
      </c>
      <c r="AK52" s="84">
        <f t="shared" si="104"/>
        <v>14874.072</v>
      </c>
      <c r="AL52" s="84">
        <f t="shared" si="105"/>
        <v>14874.07167302</v>
      </c>
      <c r="AM52" s="84">
        <f t="shared" si="106"/>
        <v>14874.072</v>
      </c>
      <c r="AN52" s="84">
        <f>'[12]Conso THB'!$G$91</f>
        <v>14874.072</v>
      </c>
      <c r="AO52" s="84">
        <f>'[1]Historical Financials in USD'!AO52*$AO$8</f>
        <v>15000</v>
      </c>
      <c r="AP52" s="84"/>
      <c r="AQ52" s="84"/>
      <c r="AR52" s="84"/>
      <c r="AS52" s="84"/>
    </row>
    <row r="53" spans="1:45">
      <c r="A53" s="3" t="s">
        <v>89</v>
      </c>
      <c r="B53" s="2" t="s">
        <v>90</v>
      </c>
      <c r="C53" s="129">
        <f t="shared" ref="C53:AD53" si="107">C48/C49</f>
        <v>0.93185695232778143</v>
      </c>
      <c r="D53" s="129">
        <f t="shared" si="107"/>
        <v>0.62871388217676893</v>
      </c>
      <c r="E53" s="129">
        <f t="shared" si="107"/>
        <v>1.2562815178148785</v>
      </c>
      <c r="F53" s="129">
        <f t="shared" si="107"/>
        <v>1.2077649819457192</v>
      </c>
      <c r="G53" s="129">
        <f t="shared" si="107"/>
        <v>0.77755073665333707</v>
      </c>
      <c r="H53" s="129">
        <f t="shared" si="107"/>
        <v>0.81125988941418303</v>
      </c>
      <c r="I53" s="129">
        <f>I48/I49</f>
        <v>0.88262754767647256</v>
      </c>
      <c r="J53" s="130">
        <f>J48/J49</f>
        <v>0.53800152497171061</v>
      </c>
      <c r="K53" s="129">
        <f>K48/K49</f>
        <v>0.57009835907629536</v>
      </c>
      <c r="L53" s="131">
        <f>L48/L49</f>
        <v>0.5278208238010349</v>
      </c>
      <c r="M53" s="129">
        <f t="shared" si="107"/>
        <v>1.2573808663744861</v>
      </c>
      <c r="N53" s="129">
        <f t="shared" si="107"/>
        <v>1.2303195744272934</v>
      </c>
      <c r="O53" s="129">
        <f t="shared" si="107"/>
        <v>1.210782579579232</v>
      </c>
      <c r="P53" s="129">
        <f t="shared" si="107"/>
        <v>1.1855436998238409</v>
      </c>
      <c r="Q53" s="129">
        <f t="shared" si="107"/>
        <v>1.2070800957355428</v>
      </c>
      <c r="R53" s="129">
        <f t="shared" si="107"/>
        <v>1.160772051498201</v>
      </c>
      <c r="S53" s="129">
        <f t="shared" si="107"/>
        <v>1.1674441478894753</v>
      </c>
      <c r="T53" s="129">
        <f t="shared" si="107"/>
        <v>0.77755073665333707</v>
      </c>
      <c r="U53" s="129">
        <f t="shared" si="107"/>
        <v>0.73020020190858226</v>
      </c>
      <c r="V53" s="129">
        <f t="shared" si="107"/>
        <v>0.84894191891169912</v>
      </c>
      <c r="W53" s="129">
        <f t="shared" si="107"/>
        <v>0.82266011838719633</v>
      </c>
      <c r="X53" s="129">
        <f t="shared" si="107"/>
        <v>0.81125988941418303</v>
      </c>
      <c r="Y53" s="129">
        <f t="shared" si="107"/>
        <v>0.75214319933388207</v>
      </c>
      <c r="Z53" s="132">
        <f t="shared" si="107"/>
        <v>0.98953302727421011</v>
      </c>
      <c r="AA53" s="132">
        <f t="shared" si="107"/>
        <v>0.90727119589996619</v>
      </c>
      <c r="AB53" s="129">
        <f>AB48/AB49</f>
        <v>0.88262754767647256</v>
      </c>
      <c r="AC53" s="129">
        <f t="shared" si="107"/>
        <v>0.80213446759384532</v>
      </c>
      <c r="AD53" s="129">
        <f t="shared" si="107"/>
        <v>0.83957029101907743</v>
      </c>
      <c r="AE53" s="129">
        <f>AE48/AE49</f>
        <v>0.57009835907629536</v>
      </c>
      <c r="AF53" s="129">
        <f>AF48/AF49</f>
        <v>0.53800152497171061</v>
      </c>
      <c r="AG53" s="129">
        <f>AG48/AG49</f>
        <v>0.39312571353347869</v>
      </c>
      <c r="AH53" s="129">
        <f>AH48/AH49</f>
        <v>0.45178614399823064</v>
      </c>
      <c r="AI53" s="133">
        <f>AI48/AI49</f>
        <v>0.5278208238010349</v>
      </c>
      <c r="AJ53" s="129">
        <f t="shared" ref="AJ53:AN53" si="108">AJ48/AJ49</f>
        <v>0.98953302727421011</v>
      </c>
      <c r="AK53" s="129">
        <f t="shared" si="108"/>
        <v>0.88262754767647256</v>
      </c>
      <c r="AL53" s="129">
        <f t="shared" si="108"/>
        <v>0.83957029101907743</v>
      </c>
      <c r="AM53" s="129">
        <f t="shared" si="108"/>
        <v>0.53800152497171061</v>
      </c>
      <c r="AN53" s="129">
        <f t="shared" si="108"/>
        <v>0.82124665667944385</v>
      </c>
      <c r="AO53" s="129">
        <f>AO48/AO49</f>
        <v>0.26427239084289378</v>
      </c>
      <c r="AP53" s="129"/>
      <c r="AQ53" s="129"/>
      <c r="AR53" s="129"/>
      <c r="AS53" s="129"/>
    </row>
    <row r="54" spans="1:45">
      <c r="A54" s="3" t="s">
        <v>91</v>
      </c>
      <c r="B54" s="2" t="s">
        <v>50</v>
      </c>
      <c r="C54" s="134">
        <f t="shared" ref="C54:H54" si="109">C49+C48</f>
        <v>62285</v>
      </c>
      <c r="D54" s="134">
        <f t="shared" si="109"/>
        <v>95713</v>
      </c>
      <c r="E54" s="134">
        <f t="shared" si="109"/>
        <v>127625.90296471387</v>
      </c>
      <c r="F54" s="134">
        <f t="shared" si="109"/>
        <v>133426.2709312645</v>
      </c>
      <c r="G54" s="134">
        <f t="shared" si="109"/>
        <v>132622.40498726882</v>
      </c>
      <c r="H54" s="134">
        <f t="shared" si="109"/>
        <v>150249.37458995881</v>
      </c>
      <c r="I54" s="134">
        <f>I49+I48</f>
        <v>172853.31838861457</v>
      </c>
      <c r="J54" s="135">
        <f>J49+J48</f>
        <v>183001.71374733924</v>
      </c>
      <c r="K54" s="134">
        <f>K49+K48</f>
        <v>173708.99853948673</v>
      </c>
      <c r="L54" s="136">
        <f>L49+L48</f>
        <v>229222.35759620223</v>
      </c>
      <c r="M54" s="134">
        <f t="shared" ref="M54:AE54" si="110">M49+M48</f>
        <v>121915.04566454679</v>
      </c>
      <c r="N54" s="134">
        <f t="shared" si="110"/>
        <v>127651.93938482273</v>
      </c>
      <c r="O54" s="134">
        <f t="shared" si="110"/>
        <v>129907.33089431355</v>
      </c>
      <c r="P54" s="134">
        <f t="shared" si="110"/>
        <v>134559.03653689739</v>
      </c>
      <c r="Q54" s="134">
        <f t="shared" si="110"/>
        <v>133107.34588344319</v>
      </c>
      <c r="R54" s="134">
        <f t="shared" si="110"/>
        <v>134137.49695852262</v>
      </c>
      <c r="S54" s="134">
        <f t="shared" si="110"/>
        <v>130435.4004741309</v>
      </c>
      <c r="T54" s="134">
        <f t="shared" si="110"/>
        <v>132622.40498726882</v>
      </c>
      <c r="U54" s="134">
        <f t="shared" si="110"/>
        <v>124679.94454551752</v>
      </c>
      <c r="V54" s="134">
        <f t="shared" si="110"/>
        <v>146857.19050558229</v>
      </c>
      <c r="W54" s="134">
        <f t="shared" si="110"/>
        <v>153251.49127134684</v>
      </c>
      <c r="X54" s="134">
        <f t="shared" si="110"/>
        <v>150249.37458995881</v>
      </c>
      <c r="Y54" s="134">
        <f t="shared" si="110"/>
        <v>151198.10835805695</v>
      </c>
      <c r="Z54" s="137">
        <f t="shared" si="110"/>
        <v>177530.87653659919</v>
      </c>
      <c r="AA54" s="137">
        <f t="shared" si="110"/>
        <v>170221.21729990587</v>
      </c>
      <c r="AB54" s="134">
        <f>AB49+AB48</f>
        <v>172853.31838861457</v>
      </c>
      <c r="AC54" s="134">
        <f t="shared" si="110"/>
        <v>168391.74741055947</v>
      </c>
      <c r="AD54" s="134">
        <f t="shared" si="110"/>
        <v>174384.80770709048</v>
      </c>
      <c r="AE54" s="134">
        <f t="shared" si="110"/>
        <v>173708.99853948673</v>
      </c>
      <c r="AF54" s="134">
        <f>AF49+AF48</f>
        <v>183001.71374733924</v>
      </c>
      <c r="AG54" s="134">
        <f t="shared" ref="AG54:AH54" si="111">AG49+AG48</f>
        <v>178198.72361324794</v>
      </c>
      <c r="AH54" s="134">
        <f t="shared" si="111"/>
        <v>207288.04275173586</v>
      </c>
      <c r="AI54" s="138">
        <f>AI49+AI48</f>
        <v>229222.35759620223</v>
      </c>
      <c r="AJ54" s="134">
        <f t="shared" ref="AJ54:AN54" si="112">AJ49+AJ48</f>
        <v>177530.87653659919</v>
      </c>
      <c r="AK54" s="134">
        <f t="shared" si="112"/>
        <v>172853.31838861457</v>
      </c>
      <c r="AL54" s="134">
        <f t="shared" si="112"/>
        <v>174384.80770709048</v>
      </c>
      <c r="AM54" s="134">
        <f t="shared" si="112"/>
        <v>183001.71374733924</v>
      </c>
      <c r="AN54" s="134">
        <f t="shared" si="112"/>
        <v>260040.21477213665</v>
      </c>
      <c r="AO54" s="134">
        <f>'[1]Historical Financials in USD'!AO54*$AO$8</f>
        <v>185082.15583272208</v>
      </c>
      <c r="AP54" s="134"/>
      <c r="AQ54" s="134"/>
      <c r="AR54" s="134"/>
      <c r="AS54" s="134"/>
    </row>
    <row r="55" spans="1:45">
      <c r="A55" s="26"/>
      <c r="B55" s="27"/>
      <c r="C55" s="26"/>
      <c r="D55" s="26"/>
      <c r="E55" s="26"/>
      <c r="F55" s="26"/>
      <c r="G55" s="26"/>
      <c r="H55" s="26"/>
      <c r="I55" s="26"/>
      <c r="J55" s="26"/>
      <c r="K55" s="139"/>
      <c r="L55" s="140"/>
      <c r="M55" s="26"/>
      <c r="N55" s="26"/>
      <c r="O55" s="26"/>
      <c r="P55" s="26"/>
      <c r="Q55" s="26"/>
      <c r="R55" s="26"/>
      <c r="S55" s="26"/>
      <c r="T55" s="26"/>
      <c r="U55" s="26"/>
      <c r="V55" s="26"/>
      <c r="W55" s="26"/>
      <c r="X55" s="26"/>
      <c r="Y55" s="26"/>
      <c r="Z55" s="141"/>
      <c r="AA55" s="141"/>
      <c r="AB55" s="26"/>
      <c r="AC55" s="26"/>
      <c r="AD55" s="26"/>
      <c r="AE55" s="26"/>
      <c r="AF55" s="26"/>
      <c r="AG55" s="26"/>
      <c r="AH55" s="26"/>
      <c r="AI55" s="142"/>
      <c r="AJ55" s="26"/>
      <c r="AK55" s="26"/>
      <c r="AL55" s="26"/>
      <c r="AM55" s="26"/>
      <c r="AN55" s="26"/>
      <c r="AO55" s="26"/>
      <c r="AP55" s="26"/>
      <c r="AQ55" s="26"/>
      <c r="AR55" s="26"/>
      <c r="AS55" s="26"/>
    </row>
    <row r="56" spans="1:45">
      <c r="I56" s="3"/>
      <c r="J56" s="3"/>
      <c r="K56" s="143"/>
      <c r="L56" s="144"/>
      <c r="V56" s="3"/>
      <c r="W56" s="3"/>
      <c r="X56" s="3"/>
      <c r="Y56" s="3"/>
      <c r="Z56" s="145"/>
      <c r="AA56" s="145"/>
      <c r="AI56" s="146"/>
      <c r="AO56" s="3"/>
    </row>
    <row r="57" spans="1:45" s="22" customFormat="1" ht="25">
      <c r="A57" s="14" t="s">
        <v>92</v>
      </c>
      <c r="B57" s="15"/>
      <c r="C57" s="16"/>
      <c r="D57" s="16"/>
      <c r="E57" s="16"/>
      <c r="F57" s="16"/>
      <c r="G57" s="17"/>
      <c r="H57" s="17"/>
      <c r="I57" s="17"/>
      <c r="J57" s="59"/>
      <c r="K57" s="17"/>
      <c r="L57" s="19"/>
      <c r="M57" s="17"/>
      <c r="N57" s="17"/>
      <c r="O57" s="17"/>
      <c r="P57" s="17"/>
      <c r="Q57" s="17"/>
      <c r="R57" s="17"/>
      <c r="S57" s="17"/>
      <c r="T57" s="17"/>
      <c r="U57" s="17"/>
      <c r="V57" s="17"/>
      <c r="W57" s="17"/>
      <c r="X57" s="17"/>
      <c r="Y57" s="17"/>
      <c r="Z57" s="17"/>
      <c r="AA57" s="17"/>
      <c r="AB57" s="16"/>
      <c r="AC57" s="16"/>
      <c r="AD57" s="16"/>
      <c r="AE57" s="16"/>
      <c r="AF57" s="16"/>
      <c r="AG57" s="16"/>
      <c r="AH57" s="16"/>
      <c r="AI57" s="21"/>
      <c r="AJ57" s="16"/>
      <c r="AK57" s="16"/>
      <c r="AL57" s="16"/>
      <c r="AM57" s="16"/>
      <c r="AN57" s="16"/>
      <c r="AO57" s="17"/>
      <c r="AP57" s="17"/>
      <c r="AQ57" s="17"/>
      <c r="AR57" s="17"/>
      <c r="AS57" s="17"/>
    </row>
    <row r="58" spans="1:45">
      <c r="A58" s="120" t="s">
        <v>93</v>
      </c>
      <c r="B58" s="2" t="s">
        <v>50</v>
      </c>
      <c r="C58" s="84">
        <f t="shared" ref="C58:H58" si="113">C15</f>
        <v>12598.892037187703</v>
      </c>
      <c r="D58" s="84">
        <f t="shared" si="113"/>
        <v>16893.61615875503</v>
      </c>
      <c r="E58" s="84">
        <f t="shared" si="113"/>
        <v>14341.036854706465</v>
      </c>
      <c r="F58" s="84">
        <f t="shared" si="113"/>
        <v>14683.230933748007</v>
      </c>
      <c r="G58" s="84">
        <f t="shared" si="113"/>
        <v>18458.275642770226</v>
      </c>
      <c r="H58" s="84">
        <f t="shared" si="113"/>
        <v>21957.556401914964</v>
      </c>
      <c r="I58" s="84">
        <f>I15</f>
        <v>27365.670995187207</v>
      </c>
      <c r="J58" s="85">
        <f>J15</f>
        <v>34077.45016858937</v>
      </c>
      <c r="K58" s="84">
        <f>K15</f>
        <v>32893.152317001957</v>
      </c>
      <c r="L58" s="86">
        <f>L15</f>
        <v>44566.970529255173</v>
      </c>
      <c r="M58" s="84">
        <f t="shared" ref="M58:AC58" si="114">M15</f>
        <v>2728.9290302383843</v>
      </c>
      <c r="N58" s="84">
        <f t="shared" si="114"/>
        <v>3973.8986550615773</v>
      </c>
      <c r="O58" s="84">
        <f t="shared" si="114"/>
        <v>3996.4319668739645</v>
      </c>
      <c r="P58" s="84">
        <f t="shared" si="114"/>
        <v>3983.9712815740886</v>
      </c>
      <c r="Q58" s="84">
        <f t="shared" si="114"/>
        <v>4564.7158750190174</v>
      </c>
      <c r="R58" s="84">
        <f t="shared" si="114"/>
        <v>4967.6911947234566</v>
      </c>
      <c r="S58" s="84">
        <f t="shared" si="114"/>
        <v>4351.9445855158519</v>
      </c>
      <c r="T58" s="84">
        <f t="shared" si="114"/>
        <v>4573.923987511891</v>
      </c>
      <c r="U58" s="84">
        <f t="shared" si="114"/>
        <v>4760.9631841459059</v>
      </c>
      <c r="V58" s="84">
        <f t="shared" si="114"/>
        <v>6212.132216600181</v>
      </c>
      <c r="W58" s="84">
        <f t="shared" si="114"/>
        <v>5911.347079164846</v>
      </c>
      <c r="X58" s="84">
        <f t="shared" si="114"/>
        <v>5073.1139220040222</v>
      </c>
      <c r="Y58" s="84">
        <f t="shared" si="114"/>
        <v>4804.096332878582</v>
      </c>
      <c r="Z58" s="87">
        <f t="shared" si="114"/>
        <v>7749.5042689853317</v>
      </c>
      <c r="AA58" s="87">
        <f t="shared" si="114"/>
        <v>7560.9718045045393</v>
      </c>
      <c r="AB58" s="84">
        <f t="shared" si="114"/>
        <v>7251.0985888187515</v>
      </c>
      <c r="AC58" s="84">
        <f t="shared" si="114"/>
        <v>7681.4401338957323</v>
      </c>
      <c r="AD58" s="84">
        <f>AD15</f>
        <v>8188.6900193756355</v>
      </c>
      <c r="AE58" s="84">
        <f>AE15</f>
        <v>9771.9235752647492</v>
      </c>
      <c r="AF58" s="84">
        <f>J58-AC58-AD58-AE58</f>
        <v>8435.3964400532514</v>
      </c>
      <c r="AG58" s="84">
        <f>AG15</f>
        <v>10289.799532620993</v>
      </c>
      <c r="AH58" s="84">
        <f>AH15</f>
        <v>12394.367090379281</v>
      </c>
      <c r="AI58" s="88">
        <f>AI15</f>
        <v>13447.407466201623</v>
      </c>
      <c r="AJ58" s="84">
        <f>AJ15</f>
        <v>12553.600601863913</v>
      </c>
      <c r="AK58" s="84">
        <f t="shared" ref="AK58:AM58" si="115">AK15</f>
        <v>14812.070393323291</v>
      </c>
      <c r="AL58" s="84">
        <f t="shared" si="115"/>
        <v>15870.130153271368</v>
      </c>
      <c r="AM58" s="84">
        <f t="shared" si="115"/>
        <v>18207.320015318001</v>
      </c>
      <c r="AN58" s="84">
        <f>AN15</f>
        <v>22684.166623000274</v>
      </c>
      <c r="AO58" s="84">
        <f>'[1]Historical Financials in USD'!AO58*$AO$8</f>
        <v>42233.721239533508</v>
      </c>
      <c r="AP58" s="84"/>
      <c r="AQ58" s="84"/>
      <c r="AR58" s="84"/>
      <c r="AS58" s="84"/>
    </row>
    <row r="59" spans="1:45">
      <c r="A59" s="3" t="s">
        <v>94</v>
      </c>
      <c r="B59" s="2" t="s">
        <v>50</v>
      </c>
      <c r="C59" s="84">
        <f t="shared" ref="C59:AC59" si="116">C60-C58</f>
        <v>-1746.5727035283962</v>
      </c>
      <c r="D59" s="84">
        <f t="shared" si="116"/>
        <v>-7306.2241587550307</v>
      </c>
      <c r="E59" s="84">
        <f t="shared" si="116"/>
        <v>1802.9735562142268</v>
      </c>
      <c r="F59" s="84">
        <f t="shared" si="116"/>
        <v>-3722.3051134634479</v>
      </c>
      <c r="G59" s="84">
        <f t="shared" si="116"/>
        <v>4222.3131553131861</v>
      </c>
      <c r="H59" s="84">
        <f t="shared" si="116"/>
        <v>3482.3132038592448</v>
      </c>
      <c r="I59" s="84">
        <f t="shared" si="116"/>
        <v>-1156.6629883558271</v>
      </c>
      <c r="J59" s="85">
        <f t="shared" si="116"/>
        <v>-2923.2742528732851</v>
      </c>
      <c r="K59" s="84">
        <f t="shared" si="116"/>
        <v>-3449.3537849285203</v>
      </c>
      <c r="L59" s="86">
        <f t="shared" si="116"/>
        <v>-11005.201266285891</v>
      </c>
      <c r="M59" s="84">
        <f t="shared" si="116"/>
        <v>-549.08723442824976</v>
      </c>
      <c r="N59" s="84">
        <f t="shared" si="116"/>
        <v>460.45863944698795</v>
      </c>
      <c r="O59" s="84">
        <f t="shared" si="116"/>
        <v>-1757.5119097997012</v>
      </c>
      <c r="P59" s="84">
        <f t="shared" si="116"/>
        <v>-1876.1646086824921</v>
      </c>
      <c r="Q59" s="84">
        <f t="shared" si="116"/>
        <v>200.88460567605125</v>
      </c>
      <c r="R59" s="84">
        <f t="shared" si="116"/>
        <v>3365.8111933006494</v>
      </c>
      <c r="S59" s="84">
        <f t="shared" si="116"/>
        <v>1990.308261262443</v>
      </c>
      <c r="T59" s="84">
        <f t="shared" si="116"/>
        <v>-1334.6909049259475</v>
      </c>
      <c r="U59" s="84">
        <f t="shared" si="116"/>
        <v>4275.5464559565326</v>
      </c>
      <c r="V59" s="84">
        <f t="shared" si="116"/>
        <v>285.12841124454371</v>
      </c>
      <c r="W59" s="84">
        <f t="shared" si="116"/>
        <v>-3075.447030004284</v>
      </c>
      <c r="X59" s="84">
        <f t="shared" si="116"/>
        <v>1997.0853666624625</v>
      </c>
      <c r="Y59" s="84">
        <f t="shared" si="116"/>
        <v>231.46365691036863</v>
      </c>
      <c r="Z59" s="87">
        <f t="shared" si="116"/>
        <v>-3542.7240907578098</v>
      </c>
      <c r="AA59" s="87">
        <f t="shared" si="116"/>
        <v>2945.4109894515805</v>
      </c>
      <c r="AB59" s="84">
        <f>AB60-AB58</f>
        <v>-790.81354395996277</v>
      </c>
      <c r="AC59" s="84">
        <f t="shared" si="116"/>
        <v>240.85871289695569</v>
      </c>
      <c r="AD59" s="84">
        <f>AD60-AD58</f>
        <v>664.38047176206783</v>
      </c>
      <c r="AE59" s="84">
        <f>AE60-AE58</f>
        <v>-3797.3694811289215</v>
      </c>
      <c r="AF59" s="84">
        <f>J59-AC59-AD59-AE59</f>
        <v>-31.143956403387165</v>
      </c>
      <c r="AG59" s="84">
        <f>AG60-AG58</f>
        <v>-2446.5961669243034</v>
      </c>
      <c r="AH59" s="84">
        <f>AH60-AH58</f>
        <v>-4729.7358901499701</v>
      </c>
      <c r="AI59" s="88">
        <f>AI60-AI58</f>
        <v>-3564.1361976597618</v>
      </c>
      <c r="AJ59" s="84">
        <f>AJ60-AJ58</f>
        <v>-3311.2604338474412</v>
      </c>
      <c r="AK59" s="84">
        <f t="shared" ref="AK59:AN59" si="117">AK60-AK58</f>
        <v>2154.5974454916177</v>
      </c>
      <c r="AL59" s="84">
        <f t="shared" si="117"/>
        <v>905.23918465902352</v>
      </c>
      <c r="AM59" s="84">
        <f t="shared" si="117"/>
        <v>-3828.5134375323069</v>
      </c>
      <c r="AN59" s="84">
        <f t="shared" si="117"/>
        <v>-7176.3320570742726</v>
      </c>
      <c r="AO59" s="84">
        <f>'[1]Historical Financials in USD'!AO59*$AO$8</f>
        <v>10685.650033562379</v>
      </c>
      <c r="AP59" s="84"/>
      <c r="AQ59" s="84"/>
      <c r="AR59" s="84"/>
      <c r="AS59" s="84"/>
    </row>
    <row r="60" spans="1:45">
      <c r="A60" s="120" t="s">
        <v>95</v>
      </c>
      <c r="B60" s="2" t="s">
        <v>50</v>
      </c>
      <c r="C60" s="125">
        <f>'[1]Historical Financials in USD'!C60*'[1]Historical Financials in USD'!$C$8</f>
        <v>10852.319333659307</v>
      </c>
      <c r="D60" s="125">
        <v>9587.3919999999998</v>
      </c>
      <c r="E60" s="125">
        <v>16144.010410920691</v>
      </c>
      <c r="F60" s="125">
        <v>10960.925820284559</v>
      </c>
      <c r="G60" s="125">
        <v>22680.588798083412</v>
      </c>
      <c r="H60" s="125">
        <f>'[20]MD&amp;A'!$B$7-H66</f>
        <v>25439.869605774209</v>
      </c>
      <c r="I60" s="125">
        <f>'[21]MD&amp;A (4Q16) '!$E$74</f>
        <v>26209.00800683138</v>
      </c>
      <c r="J60" s="126">
        <f>'[22]MD&amp;A(4Q17)'!$E$74</f>
        <v>31154.175915716085</v>
      </c>
      <c r="K60" s="125">
        <f>'[23]MD&amp;A(3Q18)'!$F$74</f>
        <v>29443.798532073437</v>
      </c>
      <c r="L60" s="73">
        <f>'[23]MD&amp;A(3Q18)'!$E$74</f>
        <v>33561.769262969283</v>
      </c>
      <c r="M60" s="125">
        <v>2179.8417958101345</v>
      </c>
      <c r="N60" s="125">
        <v>4434.3572945085652</v>
      </c>
      <c r="O60" s="125">
        <v>2238.9200570742632</v>
      </c>
      <c r="P60" s="125">
        <f>F60-O60-N60-M60</f>
        <v>2107.8066728915965</v>
      </c>
      <c r="Q60" s="125">
        <f>'[24]MD&amp;A'!$C$7-Q66</f>
        <v>4765.6004806950687</v>
      </c>
      <c r="R60" s="125">
        <f>'[25]MD&amp;A'!$C$7-Q60-Q66-R66</f>
        <v>8333.502388024106</v>
      </c>
      <c r="S60" s="125">
        <v>6342.252846778295</v>
      </c>
      <c r="T60" s="125">
        <f>G60-S60-R60-Q60</f>
        <v>3239.2330825859435</v>
      </c>
      <c r="U60" s="125">
        <f>'[26]MD&amp;A'!$D$25-U66</f>
        <v>9036.5096401024384</v>
      </c>
      <c r="V60" s="125">
        <f>'[27]MD&amp;A (2Q16)'!$I$25-V66</f>
        <v>6497.2606278447247</v>
      </c>
      <c r="W60" s="125">
        <f>'[28]MD&amp;A (3Q16) '!$D$26-W66</f>
        <v>2835.900049160562</v>
      </c>
      <c r="X60" s="125">
        <f>H60-W60-V60-U60</f>
        <v>7070.1992886664848</v>
      </c>
      <c r="Y60" s="125">
        <f>'[29]MD&amp;A'!$B$25-Y66</f>
        <v>5035.5599897889506</v>
      </c>
      <c r="Z60" s="127">
        <f>'[27]MD&amp;A (2Q16)'!$B$25-Z66</f>
        <v>4206.7801782275219</v>
      </c>
      <c r="AA60" s="127">
        <f>'[28]MD&amp;A (3Q16) '!$B$26-AA66</f>
        <v>10506.38279395612</v>
      </c>
      <c r="AB60" s="125">
        <f>I60-Y60-Z60-AA60</f>
        <v>6460.2850448587888</v>
      </c>
      <c r="AC60" s="125">
        <f>'[30]MD&amp;A (1Q17) '!$B$74</f>
        <v>7922.298846792688</v>
      </c>
      <c r="AD60" s="125">
        <f>'[31]MD&amp;A (2Q17) '!$B$74</f>
        <v>8853.0704911377034</v>
      </c>
      <c r="AE60" s="125">
        <f>'[32]MD&amp;A (3Q17)  '!$B$74</f>
        <v>5974.5540941358277</v>
      </c>
      <c r="AF60" s="125">
        <f>J60-AC60-AD60-AE60</f>
        <v>8404.2524836498669</v>
      </c>
      <c r="AG60" s="125">
        <f>'[33]MD&amp;A(2Q18)'!$C$74</f>
        <v>7843.2033656966896</v>
      </c>
      <c r="AH60" s="125">
        <f>'[33]MD&amp;A(2Q18)'!$B$74</f>
        <v>7664.6312002293107</v>
      </c>
      <c r="AI60" s="75">
        <f>'[23]MD&amp;A(3Q18)'!$B$74</f>
        <v>9883.271268541861</v>
      </c>
      <c r="AJ60" s="125">
        <f>Y60+Z60</f>
        <v>9242.3401680164716</v>
      </c>
      <c r="AK60" s="125">
        <f t="shared" ref="AK60:AK63" si="118">AA60+AB60</f>
        <v>16966.667838814908</v>
      </c>
      <c r="AL60" s="125">
        <f t="shared" ref="AL60:AL63" si="119">AC60+AD60</f>
        <v>16775.369337930391</v>
      </c>
      <c r="AM60" s="125">
        <f>AE60+AF60</f>
        <v>14378.806577785694</v>
      </c>
      <c r="AN60" s="125">
        <f>AG60+AH60</f>
        <v>15507.834565926001</v>
      </c>
      <c r="AO60" s="125">
        <f>'[1]Historical Financials in USD'!AO60*$AO$8</f>
        <v>52919.371273095887</v>
      </c>
      <c r="AP60" s="125"/>
      <c r="AQ60" s="125"/>
      <c r="AR60" s="125"/>
      <c r="AS60" s="125"/>
    </row>
    <row r="61" spans="1:45">
      <c r="A61" s="3" t="s">
        <v>96</v>
      </c>
      <c r="B61" s="2" t="s">
        <v>50</v>
      </c>
      <c r="C61" s="84">
        <f>('[1]Historical Financials in USD'!C61+'[1]Historical Financials in USD'!C62)*'[1]Historical Financials in USD'!$C$8-C62</f>
        <v>-5625.1484000000009</v>
      </c>
      <c r="D61" s="84">
        <f>('[1]Historical Financials in USD'!D61+'[1]Historical Financials in USD'!D62)*'[1]Historical Financials in USD'!$D$8-D62</f>
        <v>-19827.48404664894</v>
      </c>
      <c r="E61" s="84">
        <v>-38044.319247453226</v>
      </c>
      <c r="F61" s="84">
        <v>-5581.248733562441</v>
      </c>
      <c r="G61" s="84">
        <v>-7872.6894930135331</v>
      </c>
      <c r="H61" s="84">
        <f>('[20]MD&amp;A'!$B$10+'[20]MD&amp;A'!$B$11)-H62</f>
        <v>-24089.868669044816</v>
      </c>
      <c r="I61" s="84">
        <f>'[21]MD&amp;A (4Q16) '!$E$75</f>
        <v>-26391.267340060156</v>
      </c>
      <c r="J61" s="85">
        <f>'[22]MD&amp;A(4Q17)'!$E$75</f>
        <v>-24447.269108532979</v>
      </c>
      <c r="K61" s="84">
        <f>'[23]MD&amp;A(3Q18)'!$F$75</f>
        <v>-22208.958524641177</v>
      </c>
      <c r="L61" s="86">
        <f>'[23]MD&amp;A(3Q18)'!$E$75</f>
        <v>-42748.14846626803</v>
      </c>
      <c r="M61" s="84">
        <v>-1512.8920430350181</v>
      </c>
      <c r="N61" s="84">
        <f>(-([16]Financials!$W$165+[16]Financials!$X$165)*'[16]Conso THB'!$CG$1-M61)-N62</f>
        <v>-1991.791875154463</v>
      </c>
      <c r="O61" s="84">
        <f>-([16]Financials!$W$165+[16]Financials!$X$165+[16]Financials!$Y$165)*'[16]Conso THB'!$BU$1-N61-M61-O62-N62</f>
        <v>-985.24004592059146</v>
      </c>
      <c r="P61" s="84">
        <f>(-([16]Financials!$W$165+[16]Financials!$X$165+[16]Financials!$Y$165+[16]Financials!$Z$165)*'[16]Conso THB'!$BL$1-O61-N61-M61)-P62-N62</f>
        <v>-1091.3247694523702</v>
      </c>
      <c r="Q61" s="84">
        <f>'[24]MD&amp;A'!$C$10-Q62</f>
        <v>-1756.7654058881856</v>
      </c>
      <c r="R61" s="84">
        <f>'[25]MD&amp;A'!$C$10-Q61-R62</f>
        <v>-1264.9668204667364</v>
      </c>
      <c r="S61" s="84">
        <f>'[34]MD&amp;A'!$C$10-R61-Q61-S62-R62</f>
        <v>-2558.7546876587217</v>
      </c>
      <c r="T61" s="84">
        <f>(G61+G62-S61-R61-Q61)-T62-R62</f>
        <v>-2292.2025789998893</v>
      </c>
      <c r="U61" s="84">
        <f>'[29]MD&amp;A'!$D$30-U62</f>
        <v>-2987.3820540580596</v>
      </c>
      <c r="V61" s="84">
        <f>'[27]MD&amp;A (2Q16)'!$I$30-V62</f>
        <v>-12576.755837949477</v>
      </c>
      <c r="W61" s="84">
        <f>'[20]MD&amp;A'!$C$50-W62</f>
        <v>-4218.4502666182725</v>
      </c>
      <c r="X61" s="84">
        <f>'[20]MD&amp;A'!$B$50-X62</f>
        <v>-4307.2975104190018</v>
      </c>
      <c r="Y61" s="84">
        <f>'[29]MD&amp;A'!$B$30-Y62</f>
        <v>-13310.113472024826</v>
      </c>
      <c r="Z61" s="87">
        <f>'[27]MD&amp;A (2Q16)'!$B$30-Z62</f>
        <v>-5941.3750050205499</v>
      </c>
      <c r="AA61" s="87">
        <f>'[28]MD&amp;A (3Q16) '!$B$31-AA62</f>
        <v>-3595.9461225640757</v>
      </c>
      <c r="AB61" s="84">
        <f>'[21]MD&amp;A (4Q16) '!$B$75</f>
        <v>-3543.8332331121064</v>
      </c>
      <c r="AC61" s="84">
        <f>'[30]MD&amp;A (1Q17) '!$B$75</f>
        <v>-4079.0435821705491</v>
      </c>
      <c r="AD61" s="84">
        <f>'[31]MD&amp;A (2Q17) '!$B$75</f>
        <v>-10346.375907517868</v>
      </c>
      <c r="AE61" s="84">
        <f>'[32]MD&amp;A (3Q17)  '!$B$75</f>
        <v>-4239.7058018406515</v>
      </c>
      <c r="AF61" s="84">
        <f t="shared" ref="AF61:AF71" si="120">J61-AC61-AD61-AE61</f>
        <v>-5782.1438170039091</v>
      </c>
      <c r="AG61" s="84">
        <f>'[33]MD&amp;A(2Q18)'!$C$75</f>
        <v>-3748.3762666324274</v>
      </c>
      <c r="AH61" s="84">
        <f>'[33]MD&amp;A(2Q18)'!$B$75</f>
        <v>-17196.320141626613</v>
      </c>
      <c r="AI61" s="88">
        <f>'[23]MD&amp;A(3Q18)'!$B$75</f>
        <v>-16021.30824337083</v>
      </c>
      <c r="AJ61" s="84">
        <f t="shared" ref="AJ61:AJ63" si="121">Y61+Z61</f>
        <v>-19251.488477045375</v>
      </c>
      <c r="AK61" s="84">
        <f t="shared" si="118"/>
        <v>-7139.7793556761826</v>
      </c>
      <c r="AL61" s="84">
        <f t="shared" si="119"/>
        <v>-14425.419489688416</v>
      </c>
      <c r="AM61" s="84">
        <f t="shared" ref="AM61:AM63" si="122">AE61+AF61</f>
        <v>-10021.849618844561</v>
      </c>
      <c r="AN61" s="84">
        <f>AG61+AH61</f>
        <v>-20944.696408259042</v>
      </c>
      <c r="AO61" s="84">
        <f>'[1]Historical Financials in USD'!AO61*$AO$8</f>
        <v>-24750.141491502713</v>
      </c>
      <c r="AP61" s="84"/>
      <c r="AQ61" s="84"/>
      <c r="AR61" s="84"/>
      <c r="AS61" s="84"/>
    </row>
    <row r="62" spans="1:45">
      <c r="A62" s="3" t="s">
        <v>97</v>
      </c>
      <c r="B62" s="2" t="s">
        <v>50</v>
      </c>
      <c r="C62" s="84">
        <f>-SUM('[28]NWC on acq THB'!$AB$31:$AE$31)</f>
        <v>-379.02099999999996</v>
      </c>
      <c r="D62" s="84">
        <f>-SUM('[28]NWC on acq THB'!$X$31:$AA$31)</f>
        <v>-10239.47025</v>
      </c>
      <c r="E62" s="84">
        <f>-SUM('[28]NWC on acq THB'!$T$31:$W$31)</f>
        <v>-2810.5786800000001</v>
      </c>
      <c r="F62" s="84">
        <f>-SUM('[28]NWC on acq THB'!$P$31:$S$31)</f>
        <v>-76.712000000000003</v>
      </c>
      <c r="G62" s="84">
        <f>-SUM('[28]NWC on acq THB'!$L$31:$O$31)</f>
        <v>-3840.8357991790895</v>
      </c>
      <c r="H62" s="84">
        <f>-SUM('[28]NWC on acq THB'!$H$31:$K$31)</f>
        <v>-5777.8421044931038</v>
      </c>
      <c r="I62" s="84">
        <f>'[21]MD&amp;A (4Q16) '!$E$76</f>
        <v>-7911.205468972601</v>
      </c>
      <c r="J62" s="85">
        <f>'[22]MD&amp;A(4Q17)'!$E$76</f>
        <v>-1762.3790755117247</v>
      </c>
      <c r="K62" s="84">
        <f>'[23]MD&amp;A(3Q18)'!$F$76</f>
        <v>-1399.2047646387448</v>
      </c>
      <c r="L62" s="86">
        <f>'[23]MD&amp;A(3Q18)'!$E$76</f>
        <v>-1645.6803002523461</v>
      </c>
      <c r="M62" s="65">
        <f>-'[28]NWC on acq THB'!$S$31</f>
        <v>0</v>
      </c>
      <c r="N62" s="84">
        <f>-'[28]NWC on acq THB'!$R$31</f>
        <v>-76.712000000000003</v>
      </c>
      <c r="O62" s="128">
        <f>-'[28]NWC on acq THB'!$Q$31</f>
        <v>0</v>
      </c>
      <c r="P62" s="128">
        <f>-'[28]NWC on acq THB'!$P$31</f>
        <v>0</v>
      </c>
      <c r="Q62" s="128">
        <f>-'[28]NWC on acq THB'!$O$31</f>
        <v>0</v>
      </c>
      <c r="R62" s="84">
        <f>-'[28]NWC on acq THB'!$N$31</f>
        <v>-3840.8357991790895</v>
      </c>
      <c r="S62" s="128">
        <f>-'[28]NWC on acq THB'!$M$31</f>
        <v>0</v>
      </c>
      <c r="T62" s="128">
        <f>-'[28]NWC on acq THB'!$L$31</f>
        <v>0</v>
      </c>
      <c r="U62" s="84">
        <f>-'[28]NWC on acq THB'!$K$31</f>
        <v>-14.299623337371051</v>
      </c>
      <c r="V62" s="84">
        <f>-'[28]NWC on acq THB'!$J$31</f>
        <v>-5414.962426666687</v>
      </c>
      <c r="W62" s="84">
        <f>-'[28]NWC on acq THB'!$I$31</f>
        <v>0</v>
      </c>
      <c r="X62" s="84">
        <f>-'[28]NWC on acq THB'!$H$31</f>
        <v>-348.58005448904498</v>
      </c>
      <c r="Y62" s="84">
        <f>-'[28]NWC on acq THB'!$G$31</f>
        <v>-4497.0823289975997</v>
      </c>
      <c r="Z62" s="87">
        <f>-'[28]NWC on acq THB'!$F$31</f>
        <v>-3917.1365836150007</v>
      </c>
      <c r="AA62" s="87">
        <f>-'[28]NWC on acq THB'!$E$31</f>
        <v>494.30946505000003</v>
      </c>
      <c r="AB62" s="84">
        <f>'[21]MD&amp;A (4Q16) '!$B$76</f>
        <v>8.703978589999906</v>
      </c>
      <c r="AC62" s="84">
        <f>'[30]MD&amp;A (1Q17) '!$B$76</f>
        <v>0</v>
      </c>
      <c r="AD62" s="84">
        <f>'[31]MD&amp;A (2Q17) '!$B$76</f>
        <v>-1013.4325156803286</v>
      </c>
      <c r="AE62" s="84">
        <f>'[32]MD&amp;A (3Q17)  '!$B$76</f>
        <v>-394.47622754841609</v>
      </c>
      <c r="AF62" s="84">
        <f t="shared" si="120"/>
        <v>-354.47033228298005</v>
      </c>
      <c r="AG62" s="84">
        <f>'[33]MD&amp;A(2Q18)'!$C$76</f>
        <v>0</v>
      </c>
      <c r="AH62" s="84">
        <f>'[33]MD&amp;A(2Q18)'!$B$76</f>
        <v>-1110.2933039535908</v>
      </c>
      <c r="AI62" s="88">
        <f>'[23]MD&amp;A(3Q18)'!$B$76</f>
        <v>-180.91666165002209</v>
      </c>
      <c r="AJ62" s="84">
        <f t="shared" si="121"/>
        <v>-8414.2189126125995</v>
      </c>
      <c r="AK62" s="84">
        <f t="shared" si="118"/>
        <v>503.01344363999993</v>
      </c>
      <c r="AL62" s="84">
        <f t="shared" si="119"/>
        <v>-1013.4325156803286</v>
      </c>
      <c r="AM62" s="84">
        <f t="shared" si="122"/>
        <v>-748.94655983139614</v>
      </c>
      <c r="AN62" s="84">
        <f>AG62+AH62</f>
        <v>-1110.2933039535908</v>
      </c>
      <c r="AO62" s="84">
        <f>'[1]Historical Financials in USD'!AO62*$AO$8</f>
        <v>0</v>
      </c>
      <c r="AP62" s="84"/>
      <c r="AQ62" s="84"/>
      <c r="AR62" s="84"/>
      <c r="AS62" s="84"/>
    </row>
    <row r="63" spans="1:45">
      <c r="A63" s="3" t="s">
        <v>98</v>
      </c>
      <c r="B63" s="2" t="s">
        <v>50</v>
      </c>
      <c r="C63" s="84">
        <f>'[1]Historical Financials in USD'!C63*'[1]Historical Financials in USD'!$C$8</f>
        <v>-915.52566402951436</v>
      </c>
      <c r="D63" s="84">
        <f>'[1]Historical Financials in USD'!E63*'[1]Historical Financials in USD'!$E$8</f>
        <v>-1285.1895806422469</v>
      </c>
      <c r="E63" s="84">
        <v>-1328.5225587632294</v>
      </c>
      <c r="F63" s="84">
        <v>-1312.6409257636308</v>
      </c>
      <c r="G63" s="84">
        <v>-2011.9977811110657</v>
      </c>
      <c r="H63" s="84">
        <f>'[20]MD&amp;A'!$B$12</f>
        <v>-1869.5559657444485</v>
      </c>
      <c r="I63" s="84">
        <f>'[21]MD&amp;A (4Q16) '!$E$77</f>
        <v>-2814.8215788079315</v>
      </c>
      <c r="J63" s="85">
        <f>'[22]MD&amp;A(4Q17)'!$E$77</f>
        <v>-3414.75620202153</v>
      </c>
      <c r="K63" s="84">
        <f>'[23]MD&amp;A(3Q18)'!$F$77</f>
        <v>-3342.9452413699992</v>
      </c>
      <c r="L63" s="86">
        <f>'[23]MD&amp;A(3Q18)'!$E$77</f>
        <v>-3237.3632590095176</v>
      </c>
      <c r="M63" s="84">
        <v>-240.99041482064737</v>
      </c>
      <c r="N63" s="84">
        <f>-([16]Financials!$W$166+[16]Financials!$X$166)*'[16]Conso THB'!$CG$1-M63</f>
        <v>-343.14687286110734</v>
      </c>
      <c r="O63" s="84">
        <f>-([16]Financials!$W$166+[16]Financials!$X$166+[16]Financials!$Y$166)*'[16]Conso THB'!$BU$1-N63-M63</f>
        <v>-421.49351259789114</v>
      </c>
      <c r="P63" s="84">
        <f>-([16]Financials!$W$166+[16]Financials!$X$166+[16]Financials!$Y$166+[16]Financials!$Z$166)*'[16]Conso THB'!$BL$1-O63-N63-M63</f>
        <v>-307.01012548398535</v>
      </c>
      <c r="Q63" s="84">
        <f>'[24]MD&amp;A'!$C$11</f>
        <v>-286.34781533024716</v>
      </c>
      <c r="R63" s="84">
        <f>'[25]MD&amp;A'!$C$11-Q63</f>
        <v>-411.30393167905538</v>
      </c>
      <c r="S63" s="84">
        <v>-385.69392227391461</v>
      </c>
      <c r="T63" s="84">
        <f>G63-S63-R63-Q63</f>
        <v>-928.65211182784833</v>
      </c>
      <c r="U63" s="84">
        <f>'[24]MD&amp;A'!$B$11</f>
        <v>-378.00171748960531</v>
      </c>
      <c r="V63" s="84">
        <f>'[25]MD&amp;A'!$B$11-U63</f>
        <v>-349.22728782602314</v>
      </c>
      <c r="W63" s="84">
        <f>'[20]MD&amp;A'!$C$51</f>
        <v>-518.5865058029483</v>
      </c>
      <c r="X63" s="84">
        <f>'[20]MD&amp;A'!$B$51</f>
        <v>-623.74045462587173</v>
      </c>
      <c r="Y63" s="84">
        <f>'[29]MD&amp;A'!$B$31</f>
        <v>-633.78241924375004</v>
      </c>
      <c r="Z63" s="87">
        <f>'[27]MD&amp;A (2Q16)'!$B$31</f>
        <v>-611.17129147923163</v>
      </c>
      <c r="AA63" s="87">
        <f>'[28]MD&amp;A (3Q16) '!$B$32</f>
        <v>-662.33559032559333</v>
      </c>
      <c r="AB63" s="84">
        <f>'[21]MD&amp;A (4Q16) '!$B$77</f>
        <v>-907.53227775935648</v>
      </c>
      <c r="AC63" s="84">
        <f>'[30]MD&amp;A (1Q17) '!$B$77</f>
        <v>-842.84329288423362</v>
      </c>
      <c r="AD63" s="84">
        <f>'[31]MD&amp;A (2Q17) '!$B$77</f>
        <v>-754.9656341566407</v>
      </c>
      <c r="AE63" s="84">
        <f>'[32]MD&amp;A (3Q17)  '!$B$77</f>
        <v>-837.60403656976848</v>
      </c>
      <c r="AF63" s="84">
        <f t="shared" si="120"/>
        <v>-979.34323841088747</v>
      </c>
      <c r="AG63" s="84">
        <f>'[33]MD&amp;A(2Q18)'!$C$77</f>
        <v>-704.35098363539271</v>
      </c>
      <c r="AH63" s="84">
        <f>'[33]MD&amp;A(2Q18)'!$B$77</f>
        <v>-819.14427284018495</v>
      </c>
      <c r="AI63" s="88">
        <f>'[23]MD&amp;A(3Q18)'!$B$77</f>
        <v>-734.52476412305305</v>
      </c>
      <c r="AJ63" s="84">
        <f t="shared" si="121"/>
        <v>-1244.9537107229817</v>
      </c>
      <c r="AK63" s="84">
        <f t="shared" si="118"/>
        <v>-1569.8678680849498</v>
      </c>
      <c r="AL63" s="84">
        <f t="shared" si="119"/>
        <v>-1597.8089270408743</v>
      </c>
      <c r="AM63" s="84">
        <f t="shared" si="122"/>
        <v>-1816.9472749806559</v>
      </c>
      <c r="AN63" s="84">
        <f>AG63+AH63</f>
        <v>-1523.4952564755777</v>
      </c>
      <c r="AO63" s="84">
        <f>'[1]Historical Financials in USD'!AO63*$AO$8</f>
        <v>-3123.1384853990912</v>
      </c>
      <c r="AP63" s="84"/>
      <c r="AQ63" s="84"/>
      <c r="AR63" s="84"/>
      <c r="AS63" s="84"/>
    </row>
    <row r="64" spans="1:45">
      <c r="A64" s="120" t="s">
        <v>99</v>
      </c>
      <c r="B64" s="2" t="s">
        <v>50</v>
      </c>
      <c r="C64" s="125">
        <f t="shared" ref="C64:AB64" si="123">C60+C61+C62+C63</f>
        <v>3932.6242696297918</v>
      </c>
      <c r="D64" s="125">
        <f t="shared" si="123"/>
        <v>-21764.751877291186</v>
      </c>
      <c r="E64" s="125">
        <f t="shared" si="123"/>
        <v>-26039.410075295764</v>
      </c>
      <c r="F64" s="125">
        <f t="shared" si="123"/>
        <v>3990.3241609584875</v>
      </c>
      <c r="G64" s="125">
        <f t="shared" si="123"/>
        <v>8955.0657247797244</v>
      </c>
      <c r="H64" s="125">
        <f t="shared" si="123"/>
        <v>-6297.3971335081587</v>
      </c>
      <c r="I64" s="125">
        <f>I60+I61+I62+I63</f>
        <v>-10908.286381009308</v>
      </c>
      <c r="J64" s="126">
        <f>J60+J61+J62+J63</f>
        <v>1529.7715296498518</v>
      </c>
      <c r="K64" s="125">
        <f>K60+K61+K62+K63</f>
        <v>2492.6900014235162</v>
      </c>
      <c r="L64" s="73">
        <f>L60+L61+L62+L63</f>
        <v>-14069.422762560611</v>
      </c>
      <c r="M64" s="125">
        <f t="shared" si="123"/>
        <v>425.95933795446899</v>
      </c>
      <c r="N64" s="125">
        <f t="shared" si="123"/>
        <v>2022.7065464929949</v>
      </c>
      <c r="O64" s="125">
        <f t="shared" si="123"/>
        <v>832.18649855578064</v>
      </c>
      <c r="P64" s="125">
        <f t="shared" si="123"/>
        <v>709.4717779552409</v>
      </c>
      <c r="Q64" s="125">
        <f t="shared" si="123"/>
        <v>2722.4872594766362</v>
      </c>
      <c r="R64" s="125">
        <f t="shared" si="123"/>
        <v>2816.3958366992251</v>
      </c>
      <c r="S64" s="125">
        <f t="shared" si="123"/>
        <v>3397.8042368456586</v>
      </c>
      <c r="T64" s="125">
        <f t="shared" si="123"/>
        <v>18.378391758205908</v>
      </c>
      <c r="U64" s="125">
        <f t="shared" si="123"/>
        <v>5656.8262452174013</v>
      </c>
      <c r="V64" s="125">
        <f t="shared" si="123"/>
        <v>-11843.684924597463</v>
      </c>
      <c r="W64" s="125">
        <f t="shared" si="123"/>
        <v>-1901.1367232606588</v>
      </c>
      <c r="X64" s="125">
        <f t="shared" si="123"/>
        <v>1790.5812691325664</v>
      </c>
      <c r="Y64" s="125">
        <f t="shared" si="123"/>
        <v>-13405.418230477224</v>
      </c>
      <c r="Z64" s="127">
        <f t="shared" si="123"/>
        <v>-6262.9027018872603</v>
      </c>
      <c r="AA64" s="127">
        <f t="shared" si="123"/>
        <v>6742.4105461164509</v>
      </c>
      <c r="AB64" s="125">
        <f t="shared" si="123"/>
        <v>2017.6235125773255</v>
      </c>
      <c r="AC64" s="125">
        <f>AC60+AC61+AC62+AC63</f>
        <v>3000.4119717379053</v>
      </c>
      <c r="AD64" s="125">
        <f>AD60+AD61+AD62+AD63</f>
        <v>-3261.7035662171338</v>
      </c>
      <c r="AE64" s="125">
        <f>AE60+AE61+AE62+AE63</f>
        <v>502.76802817699161</v>
      </c>
      <c r="AF64" s="125">
        <f t="shared" si="120"/>
        <v>1288.2950959520886</v>
      </c>
      <c r="AG64" s="125">
        <f>AG60+AG61+AG62+AG63</f>
        <v>3390.4761154288694</v>
      </c>
      <c r="AH64" s="125">
        <f>AH60+AH61+AH62+AH63</f>
        <v>-11461.126518191079</v>
      </c>
      <c r="AI64" s="75">
        <f>AI60+AI61+AI62+AI63</f>
        <v>-7053.4784006020436</v>
      </c>
      <c r="AJ64" s="125">
        <f>AJ60+AJ61+AJ62+AJ63</f>
        <v>-19668.320932364484</v>
      </c>
      <c r="AK64" s="125">
        <f t="shared" ref="AK64:AM64" si="124">AK60+AK61+AK62+AK63</f>
        <v>8760.0340586937764</v>
      </c>
      <c r="AL64" s="125">
        <f t="shared" si="124"/>
        <v>-261.29159447922802</v>
      </c>
      <c r="AM64" s="125">
        <f t="shared" si="124"/>
        <v>1791.0631241290807</v>
      </c>
      <c r="AN64" s="125">
        <f>AN60+AN61+AN62+AN63</f>
        <v>-8070.6504027622095</v>
      </c>
      <c r="AO64" s="125">
        <f>'[1]Historical Financials in USD'!AO64*$AO$8</f>
        <v>25046.091296194081</v>
      </c>
      <c r="AP64" s="125"/>
      <c r="AQ64" s="125"/>
      <c r="AR64" s="125"/>
      <c r="AS64" s="125"/>
    </row>
    <row r="65" spans="1:45">
      <c r="A65" s="3" t="s">
        <v>100</v>
      </c>
      <c r="B65" s="2" t="s">
        <v>50</v>
      </c>
      <c r="C65" s="84">
        <f>'[1]Historical Financials in USD'!C65*'[1]Historical Financials in USD'!$C$8</f>
        <v>-1267.5654241656041</v>
      </c>
      <c r="D65" s="84">
        <v>-1867.6669999999999</v>
      </c>
      <c r="E65" s="84">
        <v>-3025.188065404192</v>
      </c>
      <c r="F65" s="84">
        <v>-3922.039354982338</v>
      </c>
      <c r="G65" s="84">
        <v>-3478.1142361539573</v>
      </c>
      <c r="H65" s="84">
        <f>'[20]MD&amp;A'!$B$13</f>
        <v>-3544.1576970618721</v>
      </c>
      <c r="I65" s="84">
        <v>-4431.0961299719165</v>
      </c>
      <c r="J65" s="85">
        <f>'[22]MD&amp;A(4Q17)'!$E$79</f>
        <v>-4336.1131699571943</v>
      </c>
      <c r="K65" s="84">
        <f>'[23]MD&amp;A(3Q18)'!$F$79</f>
        <v>-4355.2147384238306</v>
      </c>
      <c r="L65" s="86">
        <f>'[23]MD&amp;A(3Q18)'!$E$79</f>
        <v>-4121.2170055447878</v>
      </c>
      <c r="M65" s="84">
        <v>-517.76072306822152</v>
      </c>
      <c r="N65" s="84">
        <v>-1210.611889078335</v>
      </c>
      <c r="O65" s="84">
        <v>-643.33709243461271</v>
      </c>
      <c r="P65" s="84">
        <f>F65-O65-N65-M65</f>
        <v>-1550.3296504011687</v>
      </c>
      <c r="Q65" s="84">
        <f>'[24]MD&amp;A'!$C$12</f>
        <v>-585.90263397488707</v>
      </c>
      <c r="R65" s="84">
        <f>'[25]MD&amp;A'!$C$12-Q65</f>
        <v>-1171.2435128093357</v>
      </c>
      <c r="S65" s="84">
        <v>-609.43632401439345</v>
      </c>
      <c r="T65" s="84">
        <f>G65-S65-R65-Q65</f>
        <v>-1111.5317653553411</v>
      </c>
      <c r="U65" s="84">
        <f>'[24]MD&amp;A'!$B$12</f>
        <v>-473.46302911220334</v>
      </c>
      <c r="V65" s="84">
        <f>'[25]MD&amp;A'!$B$12-U65</f>
        <v>-1161.6213194884926</v>
      </c>
      <c r="W65" s="84">
        <f>'[28]MD&amp;A (3Q16) '!$D$33</f>
        <v>-685.18522365633999</v>
      </c>
      <c r="X65" s="84">
        <f>'[20]MD&amp;A'!$B$52</f>
        <v>-1223.8553064333341</v>
      </c>
      <c r="Y65" s="84">
        <f>'[29]MD&amp;A'!$B$32</f>
        <v>-705.04478442279299</v>
      </c>
      <c r="Z65" s="87">
        <f>'[27]MD&amp;A (2Q16)'!$B$32</f>
        <v>-1437.3941748067132</v>
      </c>
      <c r="AA65" s="87">
        <f>'[28]MD&amp;A (3Q16) '!$B$33</f>
        <v>-887.77675520896435</v>
      </c>
      <c r="AB65" s="84">
        <f>'[23]MD&amp;A(4Q17)'!$D$35</f>
        <v>-1400.9132339049488</v>
      </c>
      <c r="AC65" s="84">
        <f>'[30]MD&amp;A (1Q17) '!$B$79</f>
        <v>-746.64191273080041</v>
      </c>
      <c r="AD65" s="147">
        <f>'[31]MD&amp;A (2Q17) '!$B$79</f>
        <v>-1465.2380991933705</v>
      </c>
      <c r="AE65" s="147">
        <f>'[32]MD&amp;A (3Q17)  '!$B$79</f>
        <v>-742.42149259471034</v>
      </c>
      <c r="AF65" s="84">
        <f t="shared" si="120"/>
        <v>-1381.811665438313</v>
      </c>
      <c r="AG65" s="84">
        <f>'[33]MD&amp;A(2Q18)'!$C$79</f>
        <v>-715.32407237726125</v>
      </c>
      <c r="AH65" s="84">
        <f>'[33]MD&amp;A(2Q18)'!$B$79</f>
        <v>-1349.224640635859</v>
      </c>
      <c r="AI65" s="88">
        <f>'[23]MD&amp;A(3Q18)'!$B$79</f>
        <v>-674.85662709335497</v>
      </c>
      <c r="AJ65" s="84">
        <f t="shared" ref="AJ65:AJ68" si="125">Y65+Z65</f>
        <v>-2142.4389592295061</v>
      </c>
      <c r="AK65" s="84">
        <f t="shared" ref="AK65:AK68" si="126">AA65+AB65</f>
        <v>-2288.6899891139133</v>
      </c>
      <c r="AL65" s="84">
        <f t="shared" ref="AL65:AL68" si="127">AC65+AD65</f>
        <v>-2211.880011924171</v>
      </c>
      <c r="AM65" s="84">
        <f t="shared" ref="AM65:AM68" si="128">AE65+AF65</f>
        <v>-2124.2331580330233</v>
      </c>
      <c r="AN65" s="84">
        <f>AG65+AH65</f>
        <v>-2064.5487130131205</v>
      </c>
      <c r="AO65" s="84">
        <f>'[1]Historical Financials in USD'!AO65*$AO$8</f>
        <v>-4374.1660196881476</v>
      </c>
      <c r="AP65" s="84"/>
      <c r="AQ65" s="84"/>
      <c r="AR65" s="84"/>
      <c r="AS65" s="84"/>
    </row>
    <row r="66" spans="1:45">
      <c r="A66" s="3" t="s">
        <v>101</v>
      </c>
      <c r="B66" s="2" t="s">
        <v>50</v>
      </c>
      <c r="C66" s="84">
        <f>'[1]Historical Financials in USD'!C66*'[1]Historical Financials in USD'!$C$8</f>
        <v>-468.90779157728701</v>
      </c>
      <c r="D66" s="84">
        <v>-192.43799999999999</v>
      </c>
      <c r="E66" s="84">
        <v>-640.56277060567425</v>
      </c>
      <c r="F66" s="84">
        <v>-496.53989626196966</v>
      </c>
      <c r="G66" s="84">
        <v>-259.10609644277514</v>
      </c>
      <c r="H66" s="84">
        <f>'[28]CFF 3Q16'!$T$45/1000</f>
        <v>-633.76990956883037</v>
      </c>
      <c r="I66" s="84">
        <f>'[21]MD&amp;A (4Q16) '!$E$80</f>
        <v>-1262.8351817456632</v>
      </c>
      <c r="J66" s="85">
        <f>'[22]MD&amp;A(4Q17)'!$E$80</f>
        <v>-2247.3664181435138</v>
      </c>
      <c r="K66" s="84">
        <f>'[23]MD&amp;A(3Q18)'!$F$80</f>
        <v>-1793.1544585055617</v>
      </c>
      <c r="L66" s="86">
        <f>'[23]MD&amp;A(3Q18)'!$E$80</f>
        <v>-2683.2538114477566</v>
      </c>
      <c r="M66" s="84">
        <v>-288.72973506081178</v>
      </c>
      <c r="N66" s="84">
        <v>-155.19410527729235</v>
      </c>
      <c r="O66" s="84">
        <v>-4.9349943725974299</v>
      </c>
      <c r="P66" s="84">
        <f>F66-O66-N66-M66</f>
        <v>-47.681061551268101</v>
      </c>
      <c r="Q66" s="84">
        <f>'[24]MD&amp;A'!$C$5</f>
        <v>-14.420984203093237</v>
      </c>
      <c r="R66" s="84">
        <f>'[25]MD&amp;A'!$C$5-Q66</f>
        <v>-146.00729903693664</v>
      </c>
      <c r="S66" s="84">
        <v>-190.12187882717438</v>
      </c>
      <c r="T66" s="84">
        <f>G66-S66-R66-Q66</f>
        <v>91.444065624429129</v>
      </c>
      <c r="U66" s="84">
        <f>'[29]MD&amp;A'!$D$23</f>
        <v>-24.563276843921713</v>
      </c>
      <c r="V66" s="84">
        <f>'[25]MD&amp;A'!$B$5-U66</f>
        <v>-226.46499110324231</v>
      </c>
      <c r="W66" s="84">
        <f>'[20]MD&amp;A'!$C43</f>
        <v>-114.3460468248104</v>
      </c>
      <c r="X66" s="84">
        <f>('[28]CFF 3Q16'!$T$45-'[28]CFF 3Q16'!$S$45)/1000</f>
        <v>-268.39559479685602</v>
      </c>
      <c r="Y66" s="84">
        <f>'[29]MD&amp;A'!$B$23</f>
        <v>-70.789449913412511</v>
      </c>
      <c r="Z66" s="87">
        <f>'[27]MD&amp;A (2Q16)'!$B$23</f>
        <v>-497.29993859764818</v>
      </c>
      <c r="AA66" s="87">
        <f>'[28]MD&amp;A (3Q16) '!$B$24</f>
        <v>-79.971589549935345</v>
      </c>
      <c r="AB66" s="84">
        <f t="shared" ref="AB66:AB69" si="129">I66-Y66-Z66-AA66</f>
        <v>-614.77420368466733</v>
      </c>
      <c r="AC66" s="84">
        <f>'[30]MD&amp;A (1Q17) '!$B$80</f>
        <v>-195.26890953189684</v>
      </c>
      <c r="AD66" s="84">
        <f>'[31]MD&amp;A (2Q17) '!$B$80</f>
        <v>-615.42427960139798</v>
      </c>
      <c r="AE66" s="84">
        <f>'[32]MD&amp;A (3Q17)  '!$B$80</f>
        <v>-367.68706568759967</v>
      </c>
      <c r="AF66" s="84">
        <f t="shared" si="120"/>
        <v>-1068.9861633226192</v>
      </c>
      <c r="AG66" s="84">
        <f>'[33]MD&amp;A(2Q18)'!$C$80</f>
        <v>-253.19950654594393</v>
      </c>
      <c r="AH66" s="84">
        <f>'[33]MD&amp;A(2Q18)'!$B$80</f>
        <v>-556.60999935975804</v>
      </c>
      <c r="AI66" s="88">
        <f>'[23]MD&amp;A(3Q18)'!$B$80</f>
        <v>-804.45814221943556</v>
      </c>
      <c r="AJ66" s="84">
        <f t="shared" si="125"/>
        <v>-568.08938851106063</v>
      </c>
      <c r="AK66" s="84">
        <f t="shared" si="126"/>
        <v>-694.74579323460262</v>
      </c>
      <c r="AL66" s="84">
        <f t="shared" si="127"/>
        <v>-810.69318913329482</v>
      </c>
      <c r="AM66" s="84">
        <f t="shared" si="128"/>
        <v>-1436.6732290102188</v>
      </c>
      <c r="AN66" s="84">
        <f>AG66+AH66</f>
        <v>-809.80950590570194</v>
      </c>
      <c r="AO66" s="84">
        <f>'[1]Historical Financials in USD'!AO66*$AO$8</f>
        <v>-2588.1749049106993</v>
      </c>
      <c r="AP66" s="84"/>
      <c r="AQ66" s="84"/>
      <c r="AR66" s="84"/>
      <c r="AS66" s="84"/>
    </row>
    <row r="67" spans="1:45">
      <c r="A67" s="3" t="s">
        <v>102</v>
      </c>
      <c r="B67" s="2" t="s">
        <v>50</v>
      </c>
      <c r="C67" s="84">
        <f>'[1]Historical Financials in USD'!C67*'[1]Historical Financials in USD'!$C$8</f>
        <v>-1415.965953318833</v>
      </c>
      <c r="D67" s="84">
        <v>-5629.8720000000003</v>
      </c>
      <c r="E67" s="84">
        <v>-3290.5638148854805</v>
      </c>
      <c r="F67" s="84">
        <v>-1626.1436242903901</v>
      </c>
      <c r="G67" s="84">
        <v>-1653.50775430005</v>
      </c>
      <c r="H67" s="84">
        <f>'[20]MD&amp;A'!$B$14</f>
        <v>-3177.9897245669003</v>
      </c>
      <c r="I67" s="84">
        <f>'[21]MD&amp;A (4Q16) '!$E$81</f>
        <v>-4035.8817301491999</v>
      </c>
      <c r="J67" s="85">
        <f>'[22]MD&amp;A(4Q17)'!$E$81</f>
        <v>-5233.1987249969698</v>
      </c>
      <c r="K67" s="84">
        <f>'[23]MD&amp;A(3Q18)'!$F$81</f>
        <v>-5464.3651708833986</v>
      </c>
      <c r="L67" s="86">
        <f>'[23]MD&amp;A(3Q18)'!$E$81</f>
        <v>-8148.8624431913713</v>
      </c>
      <c r="M67" s="84">
        <v>-3.6469309010385875</v>
      </c>
      <c r="N67" s="84">
        <v>-866.56630409402146</v>
      </c>
      <c r="O67" s="84">
        <v>-674.57101429748991</v>
      </c>
      <c r="P67" s="84">
        <f>F67-O67-N67-M67</f>
        <v>-81.359374997840149</v>
      </c>
      <c r="Q67" s="84">
        <f>'[24]MD&amp;A'!$C$13</f>
        <v>-0.93437512403702738</v>
      </c>
      <c r="R67" s="84">
        <f>'[25]MD&amp;A'!$C$13-Q67</f>
        <v>-732.20288927272293</v>
      </c>
      <c r="S67" s="84">
        <v>-919.90552950564006</v>
      </c>
      <c r="T67" s="84">
        <f>G67-S67-R67-Q67</f>
        <v>-0.46496039764999397</v>
      </c>
      <c r="U67" s="84">
        <f>'[24]MD&amp;A'!$B$13+'[24]MD&amp;A'!$B$14</f>
        <v>-318.93065924450531</v>
      </c>
      <c r="V67" s="84">
        <f>'[25]MD&amp;A'!$B$13+'[25]MD&amp;A'!$B$14-U67</f>
        <v>-1170.7561329784041</v>
      </c>
      <c r="W67" s="84">
        <f>'[20]MD&amp;A'!$C$53</f>
        <v>-1423.5992105315158</v>
      </c>
      <c r="X67" s="84">
        <f>'[20]MD&amp;A'!$B$53</f>
        <v>-264.70372181247512</v>
      </c>
      <c r="Y67" s="84">
        <f>'[29]MD&amp;A'!$B$33</f>
        <v>-264.65784217999999</v>
      </c>
      <c r="Z67" s="87">
        <f>'[27]MD&amp;A (2Q16)'!$B$33</f>
        <v>-1494.8659742769</v>
      </c>
      <c r="AA67" s="87">
        <f>'[28]MD&amp;A (3Q16) New'!$B$36</f>
        <v>-1708.9436457074003</v>
      </c>
      <c r="AB67" s="84">
        <f t="shared" si="129"/>
        <v>-567.41426798489965</v>
      </c>
      <c r="AC67" s="84">
        <f>'[30]MD&amp;A (1Q17) '!$B$81</f>
        <v>-264.65820622841005</v>
      </c>
      <c r="AD67" s="84">
        <f>'[31]MD&amp;A (2Q17) '!$B$81</f>
        <v>-2051.6007083867798</v>
      </c>
      <c r="AE67" s="84">
        <f>'[32]MD&amp;A (3Q17)  '!$B$81</f>
        <v>-2580.6919882833095</v>
      </c>
      <c r="AF67" s="84">
        <f t="shared" si="120"/>
        <v>-336.24782209847081</v>
      </c>
      <c r="AG67" s="84">
        <f>'[33]MD&amp;A(2Q18)'!$C$81</f>
        <v>-264.65805502341004</v>
      </c>
      <c r="AH67" s="84">
        <f>'[33]MD&amp;A(2Q18)'!$B$81</f>
        <v>-3372.6820005402897</v>
      </c>
      <c r="AI67" s="88">
        <f>'[23]MD&amp;A(3Q18)'!$B$81</f>
        <v>-4175.2745655292001</v>
      </c>
      <c r="AJ67" s="84">
        <f t="shared" si="125"/>
        <v>-1759.5238164569</v>
      </c>
      <c r="AK67" s="84">
        <f t="shared" si="126"/>
        <v>-2276.3579136922999</v>
      </c>
      <c r="AL67" s="84">
        <f t="shared" si="127"/>
        <v>-2316.25891461519</v>
      </c>
      <c r="AM67" s="84">
        <f t="shared" si="128"/>
        <v>-2916.9398103817803</v>
      </c>
      <c r="AN67" s="84">
        <f>AG67+AH67</f>
        <v>-3637.3400555636999</v>
      </c>
      <c r="AO67" s="84">
        <f>'[1]Historical Financials in USD'!AO67*$AO$8</f>
        <v>-6284.4562182063364</v>
      </c>
      <c r="AP67" s="84"/>
      <c r="AQ67" s="84"/>
      <c r="AR67" s="84"/>
      <c r="AS67" s="84"/>
    </row>
    <row r="68" spans="1:45">
      <c r="A68" s="3" t="s">
        <v>103</v>
      </c>
      <c r="B68" s="2" t="s">
        <v>50</v>
      </c>
      <c r="C68" s="148">
        <v>3824.5039999999999</v>
      </c>
      <c r="D68" s="65">
        <v>17223.786</v>
      </c>
      <c r="E68" s="128">
        <f>'[32]Summary HFM'!$W$389</f>
        <v>0</v>
      </c>
      <c r="F68" s="65">
        <f>'[32]Summary HFM'!$S$389</f>
        <v>0</v>
      </c>
      <c r="G68" s="65">
        <f>'[32]Summary HFM'!$O$389</f>
        <v>0</v>
      </c>
      <c r="H68" s="65">
        <f>'[32]Summary HFM'!$K$389/10^6</f>
        <v>0.53531446576118469</v>
      </c>
      <c r="I68" s="65">
        <f>'[32]Summary HFM'!$G$389</f>
        <v>0</v>
      </c>
      <c r="J68" s="149">
        <f>'[22]MD&amp;A(4Q17)'!$E$82</f>
        <v>15504.14671434039</v>
      </c>
      <c r="K68" s="84">
        <f>'[23]MD&amp;A(3Q18)'!$F$82</f>
        <v>15484.970476992481</v>
      </c>
      <c r="L68" s="150">
        <f>'[23]MD&amp;A(3Q18)'!$E$82</f>
        <v>15875.434868512917</v>
      </c>
      <c r="M68" s="65">
        <v>0</v>
      </c>
      <c r="N68" s="65">
        <v>0</v>
      </c>
      <c r="O68" s="65">
        <v>0</v>
      </c>
      <c r="P68" s="65">
        <v>0</v>
      </c>
      <c r="Q68" s="65">
        <v>0</v>
      </c>
      <c r="R68" s="65">
        <v>0</v>
      </c>
      <c r="S68" s="65">
        <v>0</v>
      </c>
      <c r="T68" s="65">
        <v>0</v>
      </c>
      <c r="U68" s="65">
        <f>'[32]Summary HFM'!$N$389/10^6</f>
        <v>0</v>
      </c>
      <c r="V68" s="65">
        <f>('[32]Summary HFM'!$M$389-'[32]Summary HFM'!$N$389)/10^6</f>
        <v>0.53387999815177922</v>
      </c>
      <c r="W68" s="65">
        <f>('[32]Summary HFM'!$L$389-'[32]Summary HFM'!$M$389)/10^6</f>
        <v>-7.504620552062988E-6</v>
      </c>
      <c r="X68" s="65">
        <f>('[32]Summary HFM'!$K$389-'[32]Summary HFM'!$L$389)/10^6</f>
        <v>1.4419722299575807E-3</v>
      </c>
      <c r="Y68" s="65">
        <f>('[32]Summary HFM'!$J$389)/10^6</f>
        <v>0</v>
      </c>
      <c r="Z68" s="67">
        <f>('[32]Summary HFM'!$I$389-'[32]Summary HFM'!$J$389)/10^6</f>
        <v>0</v>
      </c>
      <c r="AA68" s="87">
        <f>'[32]MD&amp;A (3Q17)  '!$D$82</f>
        <v>0</v>
      </c>
      <c r="AB68" s="89">
        <f>I68-Y68-Z68-AA68</f>
        <v>0</v>
      </c>
      <c r="AC68" s="89">
        <f>('[32]Summary HFM'!$F$389)/10^6</f>
        <v>1.2895901252202988</v>
      </c>
      <c r="AD68" s="89">
        <f>'[32]MD&amp;A (3Q17)  '!$C$82</f>
        <v>0.71438790023040777</v>
      </c>
      <c r="AE68" s="84">
        <f>'[32]MD&amp;A (3Q17)  '!$B$82</f>
        <v>15482.966498967029</v>
      </c>
      <c r="AF68" s="65">
        <f>'[22]MD&amp;A(4Q17)'!$B$82</f>
        <v>19.176237347908021</v>
      </c>
      <c r="AG68" s="65">
        <f>'[33]MD&amp;A(2Q18)'!$C$82</f>
        <v>7148.2880076440033</v>
      </c>
      <c r="AH68" s="65">
        <f>'[33]MD&amp;A(2Q18)'!$B$82</f>
        <v>5850.4697464256078</v>
      </c>
      <c r="AI68" s="68">
        <f>'[23]MD&amp;A(3Q18)'!$B$82</f>
        <v>2857.5008770953978</v>
      </c>
      <c r="AJ68" s="65">
        <f t="shared" si="125"/>
        <v>0</v>
      </c>
      <c r="AK68" s="65">
        <f t="shared" si="126"/>
        <v>0</v>
      </c>
      <c r="AL68" s="65">
        <f t="shared" si="127"/>
        <v>2.0039780254507065</v>
      </c>
      <c r="AM68" s="65">
        <f t="shared" si="128"/>
        <v>15502.142736314938</v>
      </c>
      <c r="AN68" s="65">
        <f>AG68+AH68</f>
        <v>12998.757754069611</v>
      </c>
      <c r="AO68" s="65">
        <f>'[1]Historical Financials in USD'!AO68*$AO$8</f>
        <v>15923.23076923077</v>
      </c>
      <c r="AP68" s="65"/>
      <c r="AQ68" s="65"/>
      <c r="AR68" s="65"/>
      <c r="AS68" s="65"/>
    </row>
    <row r="69" spans="1:45">
      <c r="A69" s="3" t="s">
        <v>104</v>
      </c>
      <c r="B69" s="2" t="s">
        <v>50</v>
      </c>
      <c r="C69" s="65">
        <v>0</v>
      </c>
      <c r="D69" s="65">
        <v>0</v>
      </c>
      <c r="E69" s="128">
        <v>0</v>
      </c>
      <c r="F69" s="128">
        <v>0</v>
      </c>
      <c r="G69" s="84">
        <v>14874.07167302</v>
      </c>
      <c r="H69" s="128">
        <v>0</v>
      </c>
      <c r="I69" s="128">
        <v>0</v>
      </c>
      <c r="J69" s="151"/>
      <c r="K69" s="128">
        <f>AB69+AD69+AE69+AC69</f>
        <v>0</v>
      </c>
      <c r="L69" s="152">
        <f>AH69+AI69+AF69+AG69</f>
        <v>0</v>
      </c>
      <c r="M69" s="65">
        <v>0</v>
      </c>
      <c r="N69" s="65">
        <v>0</v>
      </c>
      <c r="O69" s="65">
        <v>0</v>
      </c>
      <c r="P69" s="65">
        <v>0</v>
      </c>
      <c r="Q69" s="65">
        <v>0</v>
      </c>
      <c r="R69" s="65">
        <v>0</v>
      </c>
      <c r="S69" s="65">
        <v>0</v>
      </c>
      <c r="T69" s="84">
        <f>G69-S69-R69-Q69</f>
        <v>14874.07167302</v>
      </c>
      <c r="U69" s="128">
        <v>0</v>
      </c>
      <c r="V69" s="128">
        <v>0</v>
      </c>
      <c r="W69" s="128">
        <v>0</v>
      </c>
      <c r="X69" s="128">
        <v>0</v>
      </c>
      <c r="Y69" s="128">
        <v>0</v>
      </c>
      <c r="Z69" s="153">
        <v>0</v>
      </c>
      <c r="AA69" s="153">
        <v>0</v>
      </c>
      <c r="AB69" s="128">
        <f t="shared" si="129"/>
        <v>0</v>
      </c>
      <c r="AC69" s="128">
        <v>0</v>
      </c>
      <c r="AD69" s="128"/>
      <c r="AE69" s="128"/>
      <c r="AF69" s="128">
        <f t="shared" si="120"/>
        <v>0</v>
      </c>
      <c r="AG69" s="128"/>
      <c r="AH69" s="128"/>
      <c r="AI69" s="154"/>
      <c r="AJ69" s="128"/>
      <c r="AK69" s="128"/>
      <c r="AL69" s="128"/>
      <c r="AM69" s="128"/>
      <c r="AN69" s="128"/>
      <c r="AO69" s="128">
        <f>'[1]Historical Financials in USD'!AO69*$AO$8</f>
        <v>0</v>
      </c>
      <c r="AP69" s="128"/>
      <c r="AQ69" s="128"/>
      <c r="AR69" s="128"/>
      <c r="AS69" s="128"/>
    </row>
    <row r="70" spans="1:45">
      <c r="A70" s="120" t="s">
        <v>105</v>
      </c>
      <c r="B70" s="2" t="s">
        <v>50</v>
      </c>
      <c r="C70" s="84">
        <f t="shared" ref="C70:AC70" si="130">SUM(C64:C69)</f>
        <v>4604.6891005680673</v>
      </c>
      <c r="D70" s="84">
        <f t="shared" si="130"/>
        <v>-12230.942877291185</v>
      </c>
      <c r="E70" s="84">
        <f t="shared" si="130"/>
        <v>-32995.724726191111</v>
      </c>
      <c r="F70" s="84">
        <f t="shared" si="130"/>
        <v>-2054.3987145762103</v>
      </c>
      <c r="G70" s="84">
        <f t="shared" si="130"/>
        <v>18438.409310902942</v>
      </c>
      <c r="H70" s="84">
        <f t="shared" si="130"/>
        <v>-13652.77915024</v>
      </c>
      <c r="I70" s="84">
        <f>SUM(I64:I69)</f>
        <v>-20638.09942287609</v>
      </c>
      <c r="J70" s="85">
        <f>SUM(J64:J69)</f>
        <v>5217.2399308925633</v>
      </c>
      <c r="K70" s="84">
        <f>SUM(K64:K69)</f>
        <v>6364.9261106032063</v>
      </c>
      <c r="L70" s="86">
        <f>SUM(L64:L69)</f>
        <v>-13147.321154231611</v>
      </c>
      <c r="M70" s="84">
        <f t="shared" si="130"/>
        <v>-384.17805107560292</v>
      </c>
      <c r="N70" s="84">
        <f t="shared" si="130"/>
        <v>-209.66575195665393</v>
      </c>
      <c r="O70" s="84">
        <f t="shared" si="130"/>
        <v>-490.65660254891941</v>
      </c>
      <c r="P70" s="84">
        <f t="shared" si="130"/>
        <v>-969.89830899503613</v>
      </c>
      <c r="Q70" s="84">
        <f t="shared" si="130"/>
        <v>2121.2292661746187</v>
      </c>
      <c r="R70" s="84">
        <f t="shared" si="130"/>
        <v>766.94213558022977</v>
      </c>
      <c r="S70" s="84">
        <f t="shared" si="130"/>
        <v>1678.3405044984506</v>
      </c>
      <c r="T70" s="84">
        <f t="shared" si="130"/>
        <v>13871.897404649644</v>
      </c>
      <c r="U70" s="84">
        <f t="shared" si="130"/>
        <v>4839.869280016771</v>
      </c>
      <c r="V70" s="84">
        <f t="shared" si="130"/>
        <v>-14401.993488169452</v>
      </c>
      <c r="W70" s="84">
        <f t="shared" si="130"/>
        <v>-4124.2672117779457</v>
      </c>
      <c r="X70" s="84">
        <f t="shared" si="130"/>
        <v>33.628088062131056</v>
      </c>
      <c r="Y70" s="84">
        <f t="shared" si="130"/>
        <v>-14445.91030699343</v>
      </c>
      <c r="Z70" s="87">
        <f t="shared" si="130"/>
        <v>-9692.4627895685207</v>
      </c>
      <c r="AA70" s="87">
        <f>SUM(AA64:AA69)</f>
        <v>4065.7185556501504</v>
      </c>
      <c r="AB70" s="84">
        <f t="shared" si="130"/>
        <v>-565.47819299719026</v>
      </c>
      <c r="AC70" s="84">
        <f t="shared" si="130"/>
        <v>1795.1325333720181</v>
      </c>
      <c r="AD70" s="84">
        <f t="shared" ref="AD70" si="131">SUM(AD64:AD69)</f>
        <v>-7393.2522654984514</v>
      </c>
      <c r="AE70" s="84">
        <f>SUM(AE64:AE69)</f>
        <v>12294.9339805784</v>
      </c>
      <c r="AF70" s="84">
        <f t="shared" si="120"/>
        <v>-1479.5743175594034</v>
      </c>
      <c r="AG70" s="84">
        <f>SUM(AG64:AG69)</f>
        <v>9305.5824891262564</v>
      </c>
      <c r="AH70" s="84">
        <f>SUM(AH64:AH69)</f>
        <v>-10889.173412301376</v>
      </c>
      <c r="AI70" s="88">
        <f>SUM(AI64:AI69)</f>
        <v>-9850.5668583486367</v>
      </c>
      <c r="AJ70" s="84">
        <f t="shared" ref="AJ70:AN70" si="132">SUM(AJ64:AJ69)</f>
        <v>-24138.373096561947</v>
      </c>
      <c r="AK70" s="84">
        <f t="shared" si="132"/>
        <v>3500.2403626529613</v>
      </c>
      <c r="AL70" s="84">
        <f t="shared" si="132"/>
        <v>-5598.1197321264326</v>
      </c>
      <c r="AM70" s="84">
        <f t="shared" si="132"/>
        <v>10815.359663018997</v>
      </c>
      <c r="AN70" s="84">
        <f t="shared" si="132"/>
        <v>-1583.5909231751193</v>
      </c>
      <c r="AO70" s="84">
        <f>'[1]Historical Financials in USD'!AO70*$AO$8</f>
        <v>27722.524922619668</v>
      </c>
      <c r="AP70" s="84"/>
      <c r="AQ70" s="84"/>
      <c r="AR70" s="84"/>
      <c r="AS70" s="84"/>
    </row>
    <row r="71" spans="1:45">
      <c r="A71" s="3" t="s">
        <v>106</v>
      </c>
      <c r="B71" s="2" t="s">
        <v>50</v>
      </c>
      <c r="C71" s="84">
        <f t="shared" ref="C71:Z71" si="133">C72-C70</f>
        <v>2891.3108994319327</v>
      </c>
      <c r="D71" s="84">
        <f t="shared" si="133"/>
        <v>-1364.0571227088149</v>
      </c>
      <c r="E71" s="84">
        <f t="shared" si="133"/>
        <v>636.16285209525086</v>
      </c>
      <c r="F71" s="84">
        <f t="shared" si="133"/>
        <v>-2861.0479482253113</v>
      </c>
      <c r="G71" s="84">
        <f t="shared" si="133"/>
        <v>-179.9385127384885</v>
      </c>
      <c r="H71" s="84">
        <f t="shared" si="133"/>
        <v>-3025.9038045636989</v>
      </c>
      <c r="I71" s="84">
        <f t="shared" si="133"/>
        <v>2443.8040172785913</v>
      </c>
      <c r="J71" s="85">
        <f>J72-J70</f>
        <v>3344.2485363506457</v>
      </c>
      <c r="K71" s="84">
        <f>K72-K70</f>
        <v>660.50404212641297</v>
      </c>
      <c r="L71" s="86">
        <f>L72-L70</f>
        <v>-5148.4701688086516</v>
      </c>
      <c r="M71" s="84">
        <f t="shared" si="133"/>
        <v>1372.922619531349</v>
      </c>
      <c r="N71" s="84">
        <f t="shared" si="133"/>
        <v>-1873.938604817446</v>
      </c>
      <c r="O71" s="84">
        <f t="shared" si="133"/>
        <v>-267.68336447959496</v>
      </c>
      <c r="P71" s="84">
        <f t="shared" si="133"/>
        <v>-2092.3485984596173</v>
      </c>
      <c r="Q71" s="84">
        <f t="shared" si="133"/>
        <v>437.82321334954668</v>
      </c>
      <c r="R71" s="84">
        <f t="shared" si="133"/>
        <v>-660.14005679888589</v>
      </c>
      <c r="S71" s="84">
        <f t="shared" si="133"/>
        <v>125.58645480287987</v>
      </c>
      <c r="T71" s="84">
        <f t="shared" si="133"/>
        <v>-83.20812409203063</v>
      </c>
      <c r="U71" s="84">
        <f t="shared" si="133"/>
        <v>38.682668464475682</v>
      </c>
      <c r="V71" s="84">
        <f t="shared" si="133"/>
        <v>-819.14423130242903</v>
      </c>
      <c r="W71" s="84">
        <f t="shared" si="133"/>
        <v>-2576.8626039879146</v>
      </c>
      <c r="X71" s="84">
        <f t="shared" si="133"/>
        <v>331.40454389066474</v>
      </c>
      <c r="Y71" s="84">
        <f t="shared" si="133"/>
        <v>1157.6929479727496</v>
      </c>
      <c r="Z71" s="87">
        <f t="shared" si="133"/>
        <v>-26.033791732659665</v>
      </c>
      <c r="AA71" s="87">
        <f>AA72-AA70</f>
        <v>3039.8127175431869</v>
      </c>
      <c r="AB71" s="84">
        <f>AB72-AB70</f>
        <v>-1727.634545471785</v>
      </c>
      <c r="AC71" s="84">
        <f t="shared" ref="AC71" si="134">AC72-AC70</f>
        <v>2360.1251308524061</v>
      </c>
      <c r="AD71" s="84">
        <f>AD72-AD70</f>
        <v>-408.16717654041531</v>
      </c>
      <c r="AE71" s="84">
        <f>AE72-AE70</f>
        <v>669.77068843463712</v>
      </c>
      <c r="AF71" s="84">
        <f t="shared" si="120"/>
        <v>722.51989360401785</v>
      </c>
      <c r="AG71" s="84">
        <f>AG72-AG70</f>
        <v>2139.3011117757014</v>
      </c>
      <c r="AH71" s="84">
        <f>AH72-AH70</f>
        <v>-2471.3981186459114</v>
      </c>
      <c r="AI71" s="88">
        <f>AI72-AI70</f>
        <v>-5772.4821106909112</v>
      </c>
      <c r="AJ71" s="84">
        <f t="shared" ref="AJ71:AN71" si="135">AJ72-AJ70</f>
        <v>1131.6591562400863</v>
      </c>
      <c r="AK71" s="84">
        <f t="shared" si="135"/>
        <v>1312.1781720714007</v>
      </c>
      <c r="AL71" s="84">
        <f t="shared" si="135"/>
        <v>1951.9579543119899</v>
      </c>
      <c r="AM71" s="84">
        <f t="shared" si="135"/>
        <v>1392.290582038655</v>
      </c>
      <c r="AN71" s="84">
        <f t="shared" si="135"/>
        <v>-332.09700687020995</v>
      </c>
      <c r="AO71" s="84">
        <f>'[1]Historical Financials in USD'!AO71*$AO$8</f>
        <v>18100.214409930228</v>
      </c>
      <c r="AP71" s="84"/>
      <c r="AQ71" s="84"/>
      <c r="AR71" s="84"/>
      <c r="AS71" s="84"/>
    </row>
    <row r="72" spans="1:45">
      <c r="A72" s="120" t="s">
        <v>107</v>
      </c>
      <c r="B72" s="2" t="s">
        <v>50</v>
      </c>
      <c r="C72" s="125">
        <f>-C46+37540</f>
        <v>7496</v>
      </c>
      <c r="D72" s="77">
        <f t="shared" ref="D72:I72" si="136">-D46+C46</f>
        <v>-13595</v>
      </c>
      <c r="E72" s="125">
        <f t="shared" si="136"/>
        <v>-32359.56187409586</v>
      </c>
      <c r="F72" s="125">
        <f t="shared" si="136"/>
        <v>-4915.4466628015216</v>
      </c>
      <c r="G72" s="125">
        <f t="shared" si="136"/>
        <v>18258.470798164453</v>
      </c>
      <c r="H72" s="125">
        <f t="shared" si="136"/>
        <v>-16678.682954803699</v>
      </c>
      <c r="I72" s="125">
        <f t="shared" si="136"/>
        <v>-18194.295405597499</v>
      </c>
      <c r="J72" s="126">
        <f>-J46+I46</f>
        <v>8561.488467243209</v>
      </c>
      <c r="K72" s="125">
        <f>-K46+AA46</f>
        <v>7025.4301527296193</v>
      </c>
      <c r="L72" s="73">
        <f>-L46+K46</f>
        <v>-18295.791323040263</v>
      </c>
      <c r="M72" s="125">
        <f>-M46+E46</f>
        <v>988.74456845574605</v>
      </c>
      <c r="N72" s="125">
        <f t="shared" ref="N72:AF72" si="137">-N46+M46</f>
        <v>-2083.6043567740999</v>
      </c>
      <c r="O72" s="125">
        <f t="shared" si="137"/>
        <v>-758.33996702851437</v>
      </c>
      <c r="P72" s="125">
        <f t="shared" si="137"/>
        <v>-3062.2469074546534</v>
      </c>
      <c r="Q72" s="125">
        <f t="shared" si="137"/>
        <v>2559.0524795241654</v>
      </c>
      <c r="R72" s="125">
        <f t="shared" si="137"/>
        <v>106.80207878134388</v>
      </c>
      <c r="S72" s="125">
        <f t="shared" si="137"/>
        <v>1803.9269593013305</v>
      </c>
      <c r="T72" s="125">
        <f t="shared" si="137"/>
        <v>13788.689280557614</v>
      </c>
      <c r="U72" s="125">
        <f t="shared" si="137"/>
        <v>4878.5519484812467</v>
      </c>
      <c r="V72" s="125">
        <f t="shared" si="137"/>
        <v>-15221.137719471881</v>
      </c>
      <c r="W72" s="125">
        <f t="shared" si="137"/>
        <v>-6701.1298157658603</v>
      </c>
      <c r="X72" s="125">
        <f t="shared" si="137"/>
        <v>365.03263195279578</v>
      </c>
      <c r="Y72" s="125">
        <f>-Y46+X46</f>
        <v>-13288.21735902068</v>
      </c>
      <c r="Z72" s="127">
        <f t="shared" si="137"/>
        <v>-9718.4965813011804</v>
      </c>
      <c r="AA72" s="127">
        <f t="shared" si="137"/>
        <v>7105.5312731933373</v>
      </c>
      <c r="AB72" s="125">
        <f t="shared" si="137"/>
        <v>-2293.1127384689753</v>
      </c>
      <c r="AC72" s="125">
        <f t="shared" si="137"/>
        <v>4155.2576642244239</v>
      </c>
      <c r="AD72" s="125">
        <f>-AD46+AC46</f>
        <v>-7801.4194420388667</v>
      </c>
      <c r="AE72" s="125">
        <f t="shared" si="137"/>
        <v>12964.704669013037</v>
      </c>
      <c r="AF72" s="125">
        <f t="shared" si="137"/>
        <v>-757.05442395538557</v>
      </c>
      <c r="AG72" s="125">
        <f>-AG46+AF46</f>
        <v>11444.883600901958</v>
      </c>
      <c r="AH72" s="125">
        <f>-AH46+AG46</f>
        <v>-13360.571530947287</v>
      </c>
      <c r="AI72" s="75">
        <f>-AI46+AH46</f>
        <v>-15623.048969039548</v>
      </c>
      <c r="AJ72" s="125">
        <f>-AJ46+H46</f>
        <v>-23006.713940321861</v>
      </c>
      <c r="AK72" s="125">
        <f>-AK46+AJ46</f>
        <v>4812.418534724362</v>
      </c>
      <c r="AL72" s="125">
        <f>-AL46+I46</f>
        <v>-3646.1617778144428</v>
      </c>
      <c r="AM72" s="125">
        <f>-AM46+AL46</f>
        <v>12207.650245057652</v>
      </c>
      <c r="AN72" s="125">
        <f>-AN46+J46</f>
        <v>-1915.6879300453293</v>
      </c>
      <c r="AO72" s="125">
        <f>'[1]Historical Financials in USD'!AO72*$AO$8</f>
        <v>45822.739332549892</v>
      </c>
      <c r="AP72" s="125"/>
      <c r="AQ72" s="125"/>
      <c r="AR72" s="125"/>
      <c r="AS72" s="125"/>
    </row>
    <row r="73" spans="1:45">
      <c r="A73" s="3" t="s">
        <v>108</v>
      </c>
      <c r="H73" s="30"/>
      <c r="I73" s="30"/>
      <c r="J73" s="53"/>
      <c r="K73" s="58"/>
      <c r="L73" s="54"/>
      <c r="M73" s="134">
        <f>E46-M46-M72</f>
        <v>0</v>
      </c>
      <c r="N73" s="134">
        <f t="shared" ref="N73:P73" si="138">M46-N46-N72</f>
        <v>0</v>
      </c>
      <c r="O73" s="134">
        <f t="shared" si="138"/>
        <v>0</v>
      </c>
      <c r="P73" s="134">
        <f t="shared" si="138"/>
        <v>0</v>
      </c>
      <c r="Q73" s="134">
        <f>P46-Q46-Q72</f>
        <v>0</v>
      </c>
      <c r="R73" s="30">
        <f t="shared" ref="R73:Y73" si="139">M46-SUM(N72:R72)-R46</f>
        <v>0</v>
      </c>
      <c r="S73" s="30">
        <f t="shared" si="139"/>
        <v>0</v>
      </c>
      <c r="T73" s="30">
        <f t="shared" si="139"/>
        <v>0</v>
      </c>
      <c r="U73" s="30">
        <f t="shared" si="139"/>
        <v>0</v>
      </c>
      <c r="V73" s="30">
        <f t="shared" si="139"/>
        <v>0</v>
      </c>
      <c r="W73" s="30">
        <f t="shared" si="139"/>
        <v>0</v>
      </c>
      <c r="X73" s="30">
        <f t="shared" si="139"/>
        <v>0</v>
      </c>
      <c r="Y73" s="30">
        <f t="shared" si="139"/>
        <v>0</v>
      </c>
      <c r="Z73" s="58">
        <f>U46-SUM(V72:Z72)-Z46</f>
        <v>0</v>
      </c>
      <c r="AA73" s="58">
        <f>V46-SUM(W72:AA72)-AA46</f>
        <v>0</v>
      </c>
      <c r="AB73" s="30">
        <f>W46-SUM(X72:AB72)-AB46</f>
        <v>0</v>
      </c>
      <c r="AC73" s="30">
        <f>X46-SUM(Y72:AC72)-AC46</f>
        <v>0</v>
      </c>
      <c r="AD73" s="30">
        <f>Y46-SUM(Z72:AD72)-AD46</f>
        <v>0</v>
      </c>
      <c r="AE73" s="30"/>
      <c r="AF73" s="30">
        <f>AA46-SUM(AB72:AF72)-AF46</f>
        <v>0</v>
      </c>
      <c r="AG73" s="30">
        <f>AB46-SUM(AC72:AG72)-AG46</f>
        <v>0</v>
      </c>
      <c r="AH73" s="30">
        <f>AC46-SUM(AD72:AH72)-AH46</f>
        <v>0</v>
      </c>
      <c r="AI73" s="155"/>
      <c r="AJ73" s="30"/>
      <c r="AK73" s="30"/>
      <c r="AL73" s="30"/>
      <c r="AM73" s="30"/>
      <c r="AN73" s="30"/>
      <c r="AO73" s="30"/>
      <c r="AP73" s="30"/>
      <c r="AQ73" s="30"/>
      <c r="AR73" s="30"/>
      <c r="AS73" s="30"/>
    </row>
    <row r="74" spans="1:45" s="44" customFormat="1">
      <c r="A74" s="44" t="s">
        <v>109</v>
      </c>
      <c r="B74" s="2" t="s">
        <v>45</v>
      </c>
      <c r="C74" s="44">
        <f t="shared" ref="C74:H74" si="140">C60/C54</f>
        <v>0.17423648283951684</v>
      </c>
      <c r="D74" s="44">
        <f t="shared" si="140"/>
        <v>0.1001681276315652</v>
      </c>
      <c r="E74" s="44">
        <f t="shared" si="140"/>
        <v>0.126494779162379</v>
      </c>
      <c r="F74" s="44">
        <f t="shared" si="140"/>
        <v>8.2149682695780046E-2</v>
      </c>
      <c r="G74" s="44">
        <f t="shared" si="140"/>
        <v>0.17101626833158887</v>
      </c>
      <c r="H74" s="44">
        <f t="shared" si="140"/>
        <v>0.16931764059052767</v>
      </c>
      <c r="I74" s="44">
        <f>I60/I54</f>
        <v>0.15162571509276679</v>
      </c>
      <c r="J74" s="156">
        <f>J60/J54</f>
        <v>0.17023980419510717</v>
      </c>
      <c r="K74" s="157">
        <f>K60/K54</f>
        <v>0.16950070969052539</v>
      </c>
      <c r="L74" s="158">
        <f>L60/L54</f>
        <v>0.14641577555925694</v>
      </c>
      <c r="AA74" s="26"/>
      <c r="AB74" s="26"/>
      <c r="AC74" s="26"/>
      <c r="AD74" s="26"/>
      <c r="AE74" s="26"/>
      <c r="AF74" s="26"/>
      <c r="AG74" s="26"/>
      <c r="AH74" s="26"/>
      <c r="AI74" s="142"/>
      <c r="AJ74" s="26"/>
      <c r="AK74" s="26"/>
      <c r="AL74" s="26"/>
      <c r="AM74" s="26"/>
      <c r="AN74" s="26"/>
      <c r="AO74" s="44">
        <f>AO60/AO54</f>
        <v>0.28592368094590709</v>
      </c>
    </row>
    <row r="75" spans="1:45">
      <c r="A75" s="3" t="s">
        <v>110</v>
      </c>
      <c r="B75" s="2" t="s">
        <v>45</v>
      </c>
      <c r="C75" s="61">
        <f t="shared" ref="C75:AN75" si="141">C63/C16</f>
        <v>0.26376423625166073</v>
      </c>
      <c r="D75" s="61">
        <f t="shared" si="141"/>
        <v>0.26909329577936492</v>
      </c>
      <c r="E75" s="61">
        <f t="shared" si="141"/>
        <v>0.19772228962292304</v>
      </c>
      <c r="F75" s="61">
        <f t="shared" si="141"/>
        <v>0.1918741908894874</v>
      </c>
      <c r="G75" s="61">
        <f t="shared" si="141"/>
        <v>0.25474482485711042</v>
      </c>
      <c r="H75" s="61">
        <f t="shared" si="141"/>
        <v>0.20048844641434532</v>
      </c>
      <c r="I75" s="61">
        <f>I63/I16</f>
        <v>0.25447164665415756</v>
      </c>
      <c r="J75" s="62">
        <f>J63/J16</f>
        <v>0.28200855979974809</v>
      </c>
      <c r="K75" s="112">
        <f>K63/K16</f>
        <v>0.28444639595859872</v>
      </c>
      <c r="L75" s="63">
        <f>L63/L16</f>
        <v>0.24172162157128679</v>
      </c>
      <c r="M75" s="61">
        <f t="shared" si="141"/>
        <v>0.13986675265272627</v>
      </c>
      <c r="N75" s="61">
        <f t="shared" si="141"/>
        <v>0.20790492624418874</v>
      </c>
      <c r="O75" s="61">
        <f t="shared" si="141"/>
        <v>0.23468262380764701</v>
      </c>
      <c r="P75" s="61">
        <f t="shared" si="141"/>
        <v>0.16315693770585815</v>
      </c>
      <c r="Q75" s="61">
        <f t="shared" si="141"/>
        <v>0.1532357075623868</v>
      </c>
      <c r="R75" s="61">
        <f t="shared" si="141"/>
        <v>0.20615083730638228</v>
      </c>
      <c r="S75" s="61">
        <f t="shared" si="141"/>
        <v>0.18951092880014958</v>
      </c>
      <c r="T75" s="61">
        <f t="shared" si="141"/>
        <v>0.46454706696905129</v>
      </c>
      <c r="U75" s="61">
        <f t="shared" si="141"/>
        <v>0.18359771268260158</v>
      </c>
      <c r="V75" s="61">
        <f t="shared" si="141"/>
        <v>0.14791990872331462</v>
      </c>
      <c r="W75" s="61">
        <f t="shared" si="141"/>
        <v>0.21624683379582627</v>
      </c>
      <c r="X75" s="61">
        <f t="shared" si="141"/>
        <v>0.24878932162973433</v>
      </c>
      <c r="Y75" s="61">
        <f t="shared" si="141"/>
        <v>0.27061381220970548</v>
      </c>
      <c r="Z75" s="61">
        <f t="shared" si="141"/>
        <v>0.20748434848118247</v>
      </c>
      <c r="AA75" s="61">
        <f t="shared" si="141"/>
        <v>0.23345812597859505</v>
      </c>
      <c r="AB75" s="61">
        <f t="shared" si="141"/>
        <v>0.30902845438330723</v>
      </c>
      <c r="AC75" s="61">
        <f t="shared" si="141"/>
        <v>0.30005015752330849</v>
      </c>
      <c r="AD75" s="61">
        <f t="shared" si="141"/>
        <v>0.26264207324094946</v>
      </c>
      <c r="AE75" s="61">
        <f t="shared" si="141"/>
        <v>0.26741526609873656</v>
      </c>
      <c r="AF75" s="61">
        <f t="shared" si="141"/>
        <v>0.29740487166448198</v>
      </c>
      <c r="AG75" s="61">
        <f t="shared" si="141"/>
        <v>0.23088736004852534</v>
      </c>
      <c r="AH75" s="61">
        <f t="shared" si="141"/>
        <v>0.25451860830564427</v>
      </c>
      <c r="AI75" s="113">
        <f>AI63/AI16</f>
        <v>0.19173460850332175</v>
      </c>
      <c r="AJ75" s="61">
        <f t="shared" si="141"/>
        <v>0.23544582629295421</v>
      </c>
      <c r="AK75" s="61">
        <f t="shared" si="141"/>
        <v>0.27189551337846313</v>
      </c>
      <c r="AL75" s="61">
        <f t="shared" si="141"/>
        <v>0.28113057330074898</v>
      </c>
      <c r="AM75" s="61">
        <f t="shared" si="141"/>
        <v>0.28278519836353488</v>
      </c>
      <c r="AN75" s="61">
        <f t="shared" si="141"/>
        <v>0.24301920970929705</v>
      </c>
      <c r="AO75" s="61">
        <f>AO63/AO16</f>
        <v>0.24973225366019514</v>
      </c>
      <c r="AP75" s="61"/>
      <c r="AQ75" s="61"/>
      <c r="AR75" s="61"/>
      <c r="AS75" s="61"/>
    </row>
    <row r="76" spans="1:45">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N76" s="145"/>
      <c r="AO76" s="134"/>
    </row>
    <row r="77" spans="1:45" s="160" customFormat="1" ht="46.5" customHeight="1">
      <c r="A77" s="164" t="s">
        <v>111</v>
      </c>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164"/>
      <c r="AE77" s="164"/>
      <c r="AF77" s="164"/>
      <c r="AG77" s="164"/>
      <c r="AH77" s="164"/>
      <c r="AI77" s="61"/>
      <c r="AJ77" s="159"/>
      <c r="AK77" s="159"/>
      <c r="AL77" s="159"/>
      <c r="AM77" s="159"/>
      <c r="AN77" s="159"/>
      <c r="AO77" s="159"/>
    </row>
    <row r="78" spans="1:45" s="160" customFormat="1" ht="60" customHeight="1">
      <c r="A78" s="164" t="s">
        <v>112</v>
      </c>
      <c r="B78" s="164"/>
      <c r="C78" s="164"/>
      <c r="D78" s="164"/>
      <c r="E78" s="164"/>
      <c r="F78" s="164"/>
      <c r="G78" s="164"/>
      <c r="H78" s="164"/>
      <c r="I78" s="164"/>
      <c r="J78" s="164"/>
      <c r="K78" s="164"/>
      <c r="L78" s="164"/>
      <c r="M78" s="164"/>
      <c r="N78" s="164"/>
      <c r="O78" s="164"/>
      <c r="P78" s="164"/>
      <c r="Q78" s="164"/>
      <c r="R78" s="164"/>
      <c r="S78" s="164"/>
      <c r="T78" s="164"/>
      <c r="U78" s="164"/>
      <c r="V78" s="164"/>
      <c r="W78" s="164"/>
      <c r="X78" s="164"/>
      <c r="Y78" s="164"/>
      <c r="Z78" s="164"/>
      <c r="AA78" s="164"/>
      <c r="AB78" s="164"/>
      <c r="AC78" s="164"/>
      <c r="AD78" s="164"/>
      <c r="AE78" s="164"/>
      <c r="AF78" s="164"/>
      <c r="AG78" s="164"/>
      <c r="AH78" s="164"/>
      <c r="AI78" s="159"/>
      <c r="AJ78" s="159"/>
      <c r="AK78" s="159"/>
      <c r="AL78" s="159"/>
      <c r="AM78" s="159"/>
      <c r="AN78" s="159"/>
      <c r="AO78" s="159"/>
    </row>
    <row r="79" spans="1:45">
      <c r="I79" s="3"/>
      <c r="J79" s="3"/>
      <c r="K79" s="3"/>
      <c r="L79" s="3"/>
      <c r="V79" s="3"/>
      <c r="W79" s="3"/>
      <c r="X79" s="3"/>
      <c r="Y79" s="3"/>
      <c r="Z79" s="3"/>
      <c r="AC79" s="161"/>
      <c r="AD79" s="161"/>
      <c r="AH79" s="161"/>
      <c r="AI79" s="161"/>
      <c r="AJ79" s="161"/>
      <c r="AK79" s="161"/>
      <c r="AL79" s="161"/>
      <c r="AM79" s="161"/>
      <c r="AN79" s="161"/>
      <c r="AO79" s="3"/>
    </row>
  </sheetData>
  <mergeCells count="2">
    <mergeCell ref="A77:AH77"/>
    <mergeCell ref="A78:AH78"/>
  </mergeCells>
  <pageMargins left="0.17" right="0.17" top="0.17" bottom="0.17" header="0.3" footer="0.3"/>
  <pageSetup paperSize="9" scale="6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Historical Financials in THB</vt:lpstr>
      <vt:lpstr>'Historical Financials in THB'!Print_Area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Nonlapan Cheewinjarasroj</dc:creator>
  <cp:lastModifiedBy>Jittreeya Pornkuntham</cp:lastModifiedBy>
  <cp:lastPrinted>2018-11-19T09:38:10Z</cp:lastPrinted>
  <dcterms:created xsi:type="dcterms:W3CDTF">2018-11-09T05:05:33Z</dcterms:created>
  <dcterms:modified xsi:type="dcterms:W3CDTF">2018-11-19T10:09:07Z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